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diaz\AppData\Local\Temp\oa\"/>
    </mc:Choice>
  </mc:AlternateContent>
  <workbookProtection workbookAlgorithmName="SHA-512" workbookHashValue="Oc5b3+XHzGyRP6tcfydFiORkxE16jS5agGFDQBzTjHmisJ3+gQEKeWoYFYFcRIYHfPwxcRjTzCy5SnArmwHeng==" workbookSaltValue="FTAmXTIKUtBPvdxZtxJdvA==" workbookSpinCount="100000" lockStructure="1"/>
  <bookViews>
    <workbookView xWindow="0" yWindow="0" windowWidth="7470" windowHeight="6030" tabRatio="589" firstSheet="1" activeTab="1"/>
  </bookViews>
  <sheets>
    <sheet name="DATOS" sheetId="15" state="hidden" r:id="rId1"/>
    <sheet name="RT03-F34" sheetId="8" r:id="rId2"/>
    <sheet name="RT03-F36" sheetId="14" state="hidden" r:id="rId3"/>
  </sheets>
  <externalReferences>
    <externalReference r:id="rId4"/>
    <externalReference r:id="rId5"/>
    <externalReference r:id="rId6"/>
    <externalReference r:id="rId7"/>
  </externalReferences>
  <definedNames>
    <definedName name="a1_">'[1]APROXIMACION LINEL'!$C$21</definedName>
    <definedName name="DELTAMAXI">'[2]PRUEBAS DE CALIBRACION'!$G$18</definedName>
    <definedName name="DIVISIÓNDEESCALA">[2]DATOS!$E$13</definedName>
    <definedName name="factordecobertura">'[3]COMPONENTES DE INCERTI'!$G$32:$K$32</definedName>
    <definedName name="LEXCENTRICIDAD">'[2]PRUEBAS DE CALIBRACION'!$H$11</definedName>
    <definedName name="Print_Area" localSheetId="0">DATOS!$A$1:$S$128</definedName>
    <definedName name="Print_Area" localSheetId="1">'RT03-F34'!$A$1:$L$137</definedName>
    <definedName name="Print_Area" localSheetId="2">'RT03-F36'!$A$1:$F$197</definedName>
    <definedName name="Print_Titles" localSheetId="1">'RT03-F34'!$1:$3</definedName>
    <definedName name="Print_Titles" localSheetId="2">'RT03-F36'!$1:$4</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8" i="15" l="1"/>
  <c r="P67" i="15"/>
  <c r="P52" i="15"/>
  <c r="P53" i="15"/>
  <c r="P54" i="15"/>
  <c r="P55" i="15"/>
  <c r="P56" i="15"/>
  <c r="P57" i="15"/>
  <c r="P58" i="15"/>
  <c r="P59" i="15"/>
  <c r="P60" i="15"/>
  <c r="P61" i="15"/>
  <c r="P62" i="15"/>
  <c r="P63" i="15"/>
  <c r="P64" i="15"/>
  <c r="P65" i="15"/>
  <c r="P66" i="15"/>
  <c r="P35" i="15"/>
  <c r="P36" i="15"/>
  <c r="P37" i="15"/>
  <c r="P38" i="15"/>
  <c r="P39" i="15"/>
  <c r="P40" i="15"/>
  <c r="P41" i="15"/>
  <c r="P42" i="15"/>
  <c r="P43" i="15"/>
  <c r="P44" i="15"/>
  <c r="P45" i="15"/>
  <c r="P46" i="15"/>
  <c r="P47" i="15"/>
  <c r="P48" i="15"/>
  <c r="P49" i="15"/>
  <c r="P50" i="15"/>
  <c r="N28" i="15"/>
  <c r="I15" i="8"/>
  <c r="I14" i="8"/>
  <c r="I13" i="8"/>
  <c r="I12" i="8"/>
  <c r="I11" i="8"/>
  <c r="I10" i="8"/>
  <c r="E32" i="8"/>
  <c r="J25" i="8"/>
  <c r="H24" i="8"/>
  <c r="N35" i="15"/>
  <c r="N36" i="15"/>
  <c r="N37" i="15"/>
  <c r="N38" i="15"/>
  <c r="N39" i="15"/>
  <c r="N40" i="15"/>
  <c r="N41" i="15"/>
  <c r="N42" i="15"/>
  <c r="N43" i="15"/>
  <c r="N44" i="15"/>
  <c r="N45" i="15"/>
  <c r="N46" i="15"/>
  <c r="N47" i="15"/>
  <c r="N48" i="15"/>
  <c r="N49" i="15"/>
  <c r="N50" i="15"/>
  <c r="N51" i="15"/>
  <c r="N52" i="15"/>
  <c r="N53" i="15"/>
  <c r="N54" i="15"/>
  <c r="N55" i="15"/>
  <c r="N56" i="15"/>
  <c r="N57" i="15"/>
  <c r="N58" i="15"/>
  <c r="N59" i="15"/>
  <c r="N60" i="15"/>
  <c r="N61" i="15"/>
  <c r="N62" i="15"/>
  <c r="N63" i="15"/>
  <c r="N64" i="15"/>
  <c r="N65" i="15"/>
  <c r="N66" i="15"/>
  <c r="N67" i="15"/>
  <c r="N68" i="15"/>
  <c r="N69" i="15"/>
  <c r="N70" i="15"/>
  <c r="N71" i="15"/>
  <c r="N72" i="15"/>
  <c r="N73" i="15"/>
  <c r="N74" i="15"/>
  <c r="N75" i="15"/>
  <c r="N76" i="15"/>
  <c r="N77" i="15"/>
  <c r="N78" i="15"/>
  <c r="N79" i="15"/>
  <c r="N80" i="15"/>
  <c r="N81" i="15"/>
  <c r="N82" i="15"/>
  <c r="N83" i="15"/>
  <c r="N84" i="15"/>
  <c r="N34" i="15"/>
  <c r="N29" i="15"/>
  <c r="N30" i="15"/>
  <c r="N31" i="15"/>
  <c r="N32" i="15"/>
  <c r="G23" i="8"/>
  <c r="A194" i="14"/>
  <c r="A193" i="14"/>
  <c r="D194" i="14"/>
  <c r="D193" i="14"/>
  <c r="K60" i="8"/>
  <c r="E26" i="8"/>
  <c r="D26" i="8"/>
  <c r="C26" i="8"/>
  <c r="B26" i="8"/>
  <c r="I24" i="8"/>
  <c r="I23" i="8"/>
  <c r="H23" i="8"/>
  <c r="I22" i="8"/>
  <c r="H22" i="8"/>
  <c r="I21" i="8"/>
  <c r="H21" i="8"/>
  <c r="J24" i="8"/>
  <c r="J23" i="8"/>
  <c r="J22" i="8"/>
  <c r="J21" i="8"/>
  <c r="G24" i="8"/>
  <c r="G22" i="8"/>
  <c r="G21" i="8"/>
  <c r="I25" i="8"/>
  <c r="H25" i="8"/>
  <c r="G25" i="8"/>
  <c r="D15" i="8"/>
  <c r="C23" i="14"/>
  <c r="D14" i="8"/>
  <c r="C22" i="14"/>
  <c r="D13" i="8"/>
  <c r="C21" i="14"/>
  <c r="D12" i="8"/>
  <c r="C20" i="14"/>
  <c r="D11" i="8"/>
  <c r="C14" i="14"/>
  <c r="D10" i="8"/>
  <c r="C13" i="14"/>
  <c r="D9" i="8"/>
  <c r="C12" i="14"/>
  <c r="I6" i="8"/>
  <c r="F5" i="14"/>
  <c r="H6" i="8"/>
  <c r="C8" i="14"/>
  <c r="G6" i="8"/>
  <c r="C7" i="14"/>
  <c r="F6" i="8"/>
  <c r="F16" i="14"/>
  <c r="E6" i="8"/>
  <c r="D6" i="8"/>
  <c r="C25" i="14"/>
  <c r="C6" i="8"/>
  <c r="C16" i="14"/>
  <c r="B6" i="8"/>
  <c r="Q70" i="15"/>
  <c r="Q71" i="15"/>
  <c r="Q72" i="15"/>
  <c r="Q73" i="15"/>
  <c r="Q74" i="15"/>
  <c r="Q75" i="15"/>
  <c r="Q76" i="15"/>
  <c r="Q77" i="15"/>
  <c r="Q78" i="15"/>
  <c r="Q79" i="15"/>
  <c r="Q80" i="15"/>
  <c r="Q81" i="15"/>
  <c r="Q82" i="15"/>
  <c r="Q83" i="15"/>
  <c r="Q84" i="15"/>
  <c r="Q52" i="15"/>
  <c r="Q53" i="15"/>
  <c r="Q54" i="15"/>
  <c r="Q55" i="15"/>
  <c r="Q56" i="15"/>
  <c r="Q57" i="15"/>
  <c r="Q58" i="15"/>
  <c r="Q59" i="15"/>
  <c r="Q60" i="15"/>
  <c r="Q61" i="15"/>
  <c r="Q62" i="15"/>
  <c r="Q63" i="15"/>
  <c r="Q64" i="15"/>
  <c r="Q65" i="15"/>
  <c r="Q66" i="15"/>
  <c r="I52" i="15"/>
  <c r="I53" i="15"/>
  <c r="I54" i="15"/>
  <c r="I55" i="15"/>
  <c r="I56" i="15"/>
  <c r="I57" i="15"/>
  <c r="I58" i="15"/>
  <c r="I59" i="15"/>
  <c r="I60" i="15"/>
  <c r="I61" i="15"/>
  <c r="I62" i="15"/>
  <c r="I63" i="15"/>
  <c r="I64" i="15"/>
  <c r="I65" i="15"/>
  <c r="I66" i="15"/>
  <c r="P51" i="15"/>
  <c r="Q35" i="15"/>
  <c r="Q36" i="15"/>
  <c r="Q37" i="15"/>
  <c r="Q38" i="15"/>
  <c r="Q39" i="15"/>
  <c r="Q40" i="15"/>
  <c r="Q41" i="15"/>
  <c r="Q42" i="15"/>
  <c r="Q43" i="15"/>
  <c r="Q44" i="15"/>
  <c r="Q45" i="15"/>
  <c r="Q46" i="15"/>
  <c r="Q47" i="15"/>
  <c r="Q48" i="15"/>
  <c r="Q49" i="15"/>
  <c r="Q50" i="15"/>
  <c r="P34" i="15"/>
  <c r="F121" i="14"/>
  <c r="F160" i="14"/>
  <c r="F47" i="14"/>
  <c r="F84" i="14"/>
  <c r="A49" i="14"/>
  <c r="C9" i="14"/>
  <c r="B74" i="14"/>
  <c r="C182" i="14"/>
  <c r="C183" i="14"/>
  <c r="C184" i="14"/>
  <c r="C185" i="14"/>
  <c r="C181" i="14"/>
  <c r="D151" i="14"/>
  <c r="C61" i="14"/>
  <c r="C62" i="14"/>
  <c r="C63" i="14"/>
  <c r="A151" i="14"/>
  <c r="B147" i="14"/>
  <c r="A107" i="14"/>
  <c r="A86" i="14"/>
  <c r="B71" i="14"/>
  <c r="A71" i="14"/>
  <c r="C70" i="14"/>
  <c r="A70" i="14"/>
  <c r="B73" i="14"/>
  <c r="I74" i="8"/>
  <c r="H74" i="8"/>
  <c r="I76" i="8"/>
  <c r="H76" i="8"/>
  <c r="I75" i="8"/>
  <c r="H75" i="8"/>
  <c r="J76" i="8"/>
  <c r="J74" i="8"/>
  <c r="J75" i="8"/>
  <c r="C151" i="14"/>
  <c r="F71" i="8"/>
  <c r="G71" i="8"/>
  <c r="H71" i="8"/>
  <c r="I71" i="8"/>
  <c r="J71" i="8"/>
  <c r="G76" i="8"/>
  <c r="G75" i="8"/>
  <c r="G74" i="8"/>
  <c r="B54" i="8"/>
  <c r="B55" i="8"/>
  <c r="B56" i="8"/>
  <c r="B57" i="8"/>
  <c r="B53" i="8"/>
  <c r="L70" i="8"/>
  <c r="G26" i="8"/>
  <c r="G113" i="8"/>
  <c r="D53" i="8"/>
  <c r="B181" i="14"/>
  <c r="E53" i="8"/>
  <c r="D181" i="14"/>
  <c r="D97" i="14"/>
  <c r="D96" i="14"/>
  <c r="D95" i="14"/>
  <c r="D94" i="14"/>
  <c r="D93" i="14"/>
  <c r="D92" i="14"/>
  <c r="D91" i="14"/>
  <c r="D90" i="14"/>
  <c r="D89" i="14"/>
  <c r="D88" i="14"/>
  <c r="C97" i="14"/>
  <c r="C96" i="14"/>
  <c r="C95" i="14"/>
  <c r="C94" i="14"/>
  <c r="C93" i="14"/>
  <c r="C92" i="14"/>
  <c r="C91" i="14"/>
  <c r="C90" i="14"/>
  <c r="C89" i="14"/>
  <c r="C88" i="14"/>
  <c r="B97" i="14"/>
  <c r="B96" i="14"/>
  <c r="B95" i="14"/>
  <c r="B94" i="14"/>
  <c r="B93" i="14"/>
  <c r="B92" i="14"/>
  <c r="B91" i="14"/>
  <c r="B90" i="14"/>
  <c r="B89" i="14"/>
  <c r="B88" i="14"/>
  <c r="A97" i="14"/>
  <c r="A96" i="14"/>
  <c r="A95" i="14"/>
  <c r="A94" i="14"/>
  <c r="A93" i="14"/>
  <c r="A92" i="14"/>
  <c r="A91" i="14"/>
  <c r="A90" i="14"/>
  <c r="A89" i="14"/>
  <c r="A88" i="14"/>
  <c r="B76" i="14"/>
  <c r="B75" i="14"/>
  <c r="B72" i="14"/>
  <c r="A76" i="14"/>
  <c r="A75" i="14"/>
  <c r="A74" i="14"/>
  <c r="A73" i="14"/>
  <c r="A72" i="14"/>
  <c r="A77" i="14"/>
  <c r="J125" i="8"/>
  <c r="J124" i="8"/>
  <c r="J123" i="8"/>
  <c r="J122" i="8"/>
  <c r="J121" i="8"/>
  <c r="K113" i="8"/>
  <c r="J84" i="8"/>
  <c r="I84" i="8"/>
  <c r="H84" i="8"/>
  <c r="G84" i="8"/>
  <c r="F84" i="8"/>
  <c r="F76" i="8"/>
  <c r="F75" i="8"/>
  <c r="F74" i="8"/>
  <c r="J66" i="8"/>
  <c r="I66" i="8"/>
  <c r="H66" i="8"/>
  <c r="G66" i="8"/>
  <c r="F66" i="8"/>
  <c r="I61" i="8"/>
  <c r="C56" i="14"/>
  <c r="G61" i="8"/>
  <c r="B56" i="14"/>
  <c r="E61" i="8"/>
  <c r="A56" i="14"/>
  <c r="I57" i="8"/>
  <c r="J57" i="8"/>
  <c r="I56" i="8"/>
  <c r="J56" i="8"/>
  <c r="I55" i="8"/>
  <c r="J55" i="8"/>
  <c r="I54" i="8"/>
  <c r="J54" i="8"/>
  <c r="B182" i="14"/>
  <c r="I53" i="8"/>
  <c r="J53" i="8"/>
  <c r="D48" i="8"/>
  <c r="E48" i="8"/>
  <c r="C48" i="8"/>
  <c r="D47" i="8"/>
  <c r="E47" i="8"/>
  <c r="C47" i="8"/>
  <c r="D46" i="8"/>
  <c r="E46" i="8"/>
  <c r="C46" i="8"/>
  <c r="A44" i="8"/>
  <c r="A43" i="8"/>
  <c r="A42" i="8"/>
  <c r="B86" i="14"/>
  <c r="G35" i="8"/>
  <c r="F35" i="8"/>
  <c r="E35" i="8"/>
  <c r="D35" i="8"/>
  <c r="C35" i="8"/>
  <c r="B184" i="14"/>
  <c r="B183" i="14"/>
  <c r="A108" i="14"/>
  <c r="C36" i="8"/>
  <c r="C72" i="14"/>
  <c r="E36" i="8"/>
  <c r="C74" i="14"/>
  <c r="G36" i="8"/>
  <c r="C76" i="14"/>
  <c r="F36" i="8"/>
  <c r="C75" i="14"/>
  <c r="D36" i="8"/>
  <c r="C73" i="14"/>
  <c r="F77" i="8"/>
  <c r="F91" i="8"/>
  <c r="A110" i="14"/>
  <c r="D55" i="8"/>
  <c r="A111" i="14"/>
  <c r="D56" i="8"/>
  <c r="A109" i="14"/>
  <c r="D54" i="8"/>
  <c r="G32" i="8"/>
  <c r="B70" i="14"/>
  <c r="B48" i="8"/>
  <c r="D86" i="14"/>
  <c r="B47" i="8"/>
  <c r="C86" i="14"/>
  <c r="B46" i="8"/>
  <c r="F46" i="8"/>
  <c r="E113" i="8"/>
  <c r="E114" i="8"/>
  <c r="K53" i="8"/>
  <c r="L53" i="8"/>
  <c r="B108" i="14"/>
  <c r="K54" i="8"/>
  <c r="L54" i="8"/>
  <c r="B109" i="14"/>
  <c r="K55" i="8"/>
  <c r="L55" i="8"/>
  <c r="B110" i="14"/>
  <c r="K56" i="8"/>
  <c r="L56" i="8"/>
  <c r="B111" i="14"/>
  <c r="H77" i="8"/>
  <c r="H91" i="8"/>
  <c r="G77" i="8"/>
  <c r="G91" i="8"/>
  <c r="I77" i="8"/>
  <c r="I91" i="8"/>
  <c r="C37" i="8"/>
  <c r="B77" i="14"/>
  <c r="E54" i="8"/>
  <c r="D182" i="14"/>
  <c r="E56" i="8"/>
  <c r="D184" i="14"/>
  <c r="E55" i="8"/>
  <c r="D183" i="14"/>
  <c r="J77" i="8"/>
  <c r="J91" i="8"/>
  <c r="G70" i="8"/>
  <c r="H70" i="8"/>
  <c r="I70" i="8"/>
  <c r="F70" i="8"/>
  <c r="J70" i="8"/>
  <c r="H69" i="8"/>
  <c r="H72" i="8"/>
  <c r="H86" i="8"/>
  <c r="G69" i="8"/>
  <c r="G72" i="8"/>
  <c r="G86" i="8"/>
  <c r="J69" i="8"/>
  <c r="J72" i="8"/>
  <c r="J86" i="8"/>
  <c r="F69" i="8"/>
  <c r="F72" i="8"/>
  <c r="F86" i="8"/>
  <c r="I69" i="8"/>
  <c r="I72" i="8"/>
  <c r="I86" i="8"/>
  <c r="D57" i="8"/>
  <c r="B185" i="14"/>
  <c r="K57" i="8"/>
  <c r="L57" i="8"/>
  <c r="B112" i="14"/>
  <c r="A112" i="14"/>
  <c r="E57" i="8"/>
  <c r="D185" i="14"/>
  <c r="J79" i="8"/>
  <c r="J93" i="8"/>
  <c r="J96" i="8"/>
  <c r="J100" i="8"/>
  <c r="C112" i="14"/>
  <c r="I79" i="8"/>
  <c r="A108" i="8"/>
  <c r="F79" i="8"/>
  <c r="F93" i="8"/>
  <c r="F96" i="8"/>
  <c r="H79" i="8"/>
  <c r="A107" i="8"/>
  <c r="G79" i="8"/>
  <c r="G93" i="8"/>
  <c r="G96" i="8"/>
  <c r="A105" i="8"/>
  <c r="C105" i="8"/>
  <c r="C108" i="8"/>
  <c r="B108" i="8"/>
  <c r="A109" i="8"/>
  <c r="H93" i="8"/>
  <c r="H96" i="8"/>
  <c r="H100" i="8"/>
  <c r="C110" i="14"/>
  <c r="I93" i="8"/>
  <c r="I96" i="8"/>
  <c r="I100" i="8"/>
  <c r="C111" i="14"/>
  <c r="F100" i="8"/>
  <c r="C108" i="14"/>
  <c r="A106" i="8"/>
  <c r="B106" i="8"/>
  <c r="G100" i="8"/>
  <c r="C109" i="14"/>
  <c r="B107" i="8"/>
  <c r="C107" i="8"/>
  <c r="B105" i="8"/>
  <c r="G114" i="8"/>
  <c r="E149" i="14"/>
  <c r="C106" i="8"/>
  <c r="C109" i="8"/>
  <c r="B109" i="8"/>
  <c r="B110" i="8"/>
  <c r="C110" i="8"/>
  <c r="B114" i="8"/>
  <c r="G128" i="8"/>
  <c r="B112" i="8"/>
  <c r="G107" i="8"/>
  <c r="D128" i="8"/>
  <c r="G105" i="8"/>
  <c r="G106" i="8"/>
  <c r="G108" i="8"/>
  <c r="B113" i="8"/>
  <c r="D109" i="8"/>
  <c r="E109" i="8"/>
  <c r="K125" i="8"/>
  <c r="G109" i="8"/>
  <c r="F131" i="8"/>
  <c r="C147" i="14"/>
  <c r="D106" i="8"/>
  <c r="E106" i="8"/>
  <c r="K122" i="8"/>
  <c r="D108" i="8"/>
  <c r="E108" i="8"/>
  <c r="K124" i="8"/>
  <c r="D105" i="8"/>
  <c r="E105" i="8"/>
  <c r="D107" i="8"/>
  <c r="E107" i="8"/>
  <c r="K123" i="8"/>
  <c r="G110" i="8"/>
  <c r="I113" i="8"/>
  <c r="I114" i="8"/>
  <c r="D118" i="8"/>
  <c r="F133" i="8"/>
  <c r="B151" i="14"/>
  <c r="K121" i="8"/>
  <c r="D117" i="8"/>
  <c r="H118" i="8"/>
  <c r="H133" i="8"/>
  <c r="E151" i="14"/>
</calcChain>
</file>

<file path=xl/sharedStrings.xml><?xml version="1.0" encoding="utf-8"?>
<sst xmlns="http://schemas.openxmlformats.org/spreadsheetml/2006/main" count="685" uniqueCount="400">
  <si>
    <t>Clase</t>
  </si>
  <si>
    <t>Serial</t>
  </si>
  <si>
    <t>Certificado N°</t>
  </si>
  <si>
    <t>Fabricante</t>
  </si>
  <si>
    <t>Humedad relativa (%rH)</t>
  </si>
  <si>
    <t>Presión (hPa)</t>
  </si>
  <si>
    <t>Temperatura (°C)</t>
  </si>
  <si>
    <t>Ciudad</t>
  </si>
  <si>
    <t>Solicitante</t>
  </si>
  <si>
    <t>Modelo</t>
  </si>
  <si>
    <t xml:space="preserve"> DATOS DE LOS PATRONES PARA LAS PRUEBAS</t>
  </si>
  <si>
    <t>Cargas para Repetibilidad (g)</t>
  </si>
  <si>
    <t>Incertidumbre (mg)</t>
  </si>
  <si>
    <t>PRUEBA DE EXCENTRICIDAD</t>
  </si>
  <si>
    <t>Posición</t>
  </si>
  <si>
    <t>Diferencia (g)</t>
  </si>
  <si>
    <t>PRUEBA DE REPETIBILIDAD</t>
  </si>
  <si>
    <t>Cargas (g)</t>
  </si>
  <si>
    <t>promedios (g)</t>
  </si>
  <si>
    <t>Indicaciones</t>
  </si>
  <si>
    <t>Excentricidad</t>
  </si>
  <si>
    <t>Repetibilidad</t>
  </si>
  <si>
    <t>PRUEBA DE ERROR DE INDICACIÓN (EXACTITUD)</t>
  </si>
  <si>
    <t>Prueba de error de                  indicación (exactitud)</t>
  </si>
  <si>
    <t>Incertidumbre por pesas patrón</t>
  </si>
  <si>
    <t>incertidumbre                            por empuje</t>
  </si>
  <si>
    <t>Distribución</t>
  </si>
  <si>
    <t>Cargas de prueba (g)</t>
  </si>
  <si>
    <t>GRADOS EFECTIVOS DE LIBERTAD</t>
  </si>
  <si>
    <t>GRADOS EFECTIVOS DE LIBERTAD DEL ERROR</t>
  </si>
  <si>
    <t>FACTOR DE COBERTURA</t>
  </si>
  <si>
    <t>incertidumbre por                              deriva</t>
  </si>
  <si>
    <t>Magnitud</t>
  </si>
  <si>
    <t xml:space="preserve">                       PRESUPUESTO DE INCERTIDUMBRE</t>
  </si>
  <si>
    <t>APROXIMACION POR LINEA RECTA QUE CRUZA POR CERO PARA EL ERROR</t>
  </si>
  <si>
    <t>Error de</t>
  </si>
  <si>
    <t>p</t>
  </si>
  <si>
    <t>pIE</t>
  </si>
  <si>
    <t>Σ</t>
  </si>
  <si>
    <t>≤</t>
  </si>
  <si>
    <t>u(Eappr) a REPORTAR</t>
  </si>
  <si>
    <t>m=</t>
  </si>
  <si>
    <t>b=</t>
  </si>
  <si>
    <t>Beta (β)</t>
  </si>
  <si>
    <t xml:space="preserve">G de libertad </t>
  </si>
  <si>
    <t>Carga max (g)</t>
  </si>
  <si>
    <t>Valor ABS de diferencia</t>
  </si>
  <si>
    <t xml:space="preserve"> (mg)</t>
  </si>
  <si>
    <t>Carga min (g)</t>
  </si>
  <si>
    <t>INCERTIDUMBRE POR INDICACION (mg)</t>
  </si>
  <si>
    <t>n</t>
  </si>
  <si>
    <t>Rectangular</t>
  </si>
  <si>
    <t>Normal</t>
  </si>
  <si>
    <t>k =</t>
  </si>
  <si>
    <t>(g)</t>
  </si>
  <si>
    <t>Carga</t>
  </si>
  <si>
    <t>GRADOS EFECTIVOS DE LIBERTAD POR MASA DE REFERENCIA</t>
  </si>
  <si>
    <t>GRADOS EFECTIVOS DE LIBERTAD POR INDICACION</t>
  </si>
  <si>
    <t xml:space="preserve">Nivel de Confianza                                                                </t>
  </si>
  <si>
    <t>incertidumbre  certificado (mg)</t>
  </si>
  <si>
    <t>Promedios</t>
  </si>
  <si>
    <t>CONDICIONES AMBIENTALES INICIALES</t>
  </si>
  <si>
    <t>Hora</t>
  </si>
  <si>
    <t>CONDICIONES AMBIENTALES FINALES</t>
  </si>
  <si>
    <t>INCERTIDUMBRE EXPANDIDA</t>
  </si>
  <si>
    <t>s (mg)</t>
  </si>
  <si>
    <t>s (g)</t>
  </si>
  <si>
    <t xml:space="preserve">K mayor </t>
  </si>
  <si>
    <t>APROXIMACIÓN POR LÍNEA RECTA QUE CRUZA EN CERO</t>
  </si>
  <si>
    <t>INCERTIDUMBRE EXPANDIDA DE LOS ERRORES APROXIMADOS  U(Eappr)</t>
  </si>
  <si>
    <t xml:space="preserve">Escalon de Verificación     en  (g)  </t>
  </si>
  <si>
    <t>Carga (g)</t>
  </si>
  <si>
    <t>u(mg)</t>
  </si>
  <si>
    <t xml:space="preserve">  + </t>
  </si>
  <si>
    <t>R (g)</t>
  </si>
  <si>
    <t>VALIDACIÓN   -   RESULTADOS</t>
  </si>
  <si>
    <t>U (E)  (mg) =</t>
  </si>
  <si>
    <t>x</t>
  </si>
  <si>
    <t>y</t>
  </si>
  <si>
    <t>Dirección</t>
  </si>
  <si>
    <t>Información del Cliente</t>
  </si>
  <si>
    <t xml:space="preserve">Dirección                       </t>
  </si>
  <si>
    <t xml:space="preserve">Ciudad                          </t>
  </si>
  <si>
    <t>Fecha de recepción</t>
  </si>
  <si>
    <t xml:space="preserve">Fabricante </t>
  </si>
  <si>
    <t>Serie</t>
  </si>
  <si>
    <t>TEMPERATURA °C</t>
  </si>
  <si>
    <t>HUMEDAD RELATIVA % rH</t>
  </si>
  <si>
    <t>PRESIÓN ATMOSFÉRICA  hPa</t>
  </si>
  <si>
    <t>No CERTIFICADO</t>
  </si>
  <si>
    <t>6.2 PRUEBA DE EXCENTRICIDAD</t>
  </si>
  <si>
    <t>g</t>
  </si>
  <si>
    <t>Figura 1</t>
  </si>
  <si>
    <t>Prueba de excentricidad.</t>
  </si>
  <si>
    <t>REPETICIÓN. No.</t>
  </si>
  <si>
    <t>INDICACIÓN g</t>
  </si>
  <si>
    <t>Prueba de repetibilidad.</t>
  </si>
  <si>
    <t xml:space="preserve">La prueba consiste en la colocación repetitiva de la misma carga en el receptor de carga, bajo condiciones idénticas de manejo de la carga y del instrumento, y bajo las mismas condiciones de prueba, tanto como sea posible. Esta prueba fue realizada según numeral 5,1. de la Guia SIM MWG7/cg-01/v.00, </t>
  </si>
  <si>
    <t>6.3  ERROR DE INDICACIÓN</t>
  </si>
  <si>
    <t>Prueba para los errores de las indicaciones</t>
  </si>
  <si>
    <t>La prueba para los errores de las indicaciones se realizó según el numeral  5,1. de la Guia SIM MWG7/cg-01/v.00</t>
  </si>
  <si>
    <t>La incertidumbre estándar del error obtenida durante el ejercicio de calibración, debe incrementarse por la adición de la incertidumbre estándar de la lectura, ver modelo.</t>
  </si>
  <si>
    <t>w *</t>
  </si>
  <si>
    <t>s (R )</t>
  </si>
  <si>
    <t>Desviación estándar del usuario</t>
  </si>
  <si>
    <t>d</t>
  </si>
  <si>
    <t>Resolución de la balanza</t>
  </si>
  <si>
    <t>__________________________________</t>
  </si>
  <si>
    <t>Carga para excentricidad    (g)</t>
  </si>
  <si>
    <t>U (mg)</t>
  </si>
  <si>
    <t>Valor nominal Cargas de    prueba (g) mN</t>
  </si>
  <si>
    <t>Grados efectivos de libertad de Excentricidad</t>
  </si>
  <si>
    <t>Grados efectivos de libertad de Repetibilidad</t>
  </si>
  <si>
    <t>Grados efectivos de libertad de Resolución</t>
  </si>
  <si>
    <t>Grados efectivos de libertad de Pesas</t>
  </si>
  <si>
    <t>Grados efectivos de libertad de Empuje</t>
  </si>
  <si>
    <t>Grados efectivos de libertad de Deriva</t>
  </si>
  <si>
    <t xml:space="preserve">INCERTIDUMBRE ESTÁNDAR DEL ERROR  </t>
  </si>
  <si>
    <t xml:space="preserve">INCERTIDUMBRE ESTÁNDAR MASA DE REFERENCIA  </t>
  </si>
  <si>
    <t>ANTES DE AJUSTE</t>
  </si>
  <si>
    <t>DESPUES DE AJUSTE</t>
  </si>
  <si>
    <t>Grados efectivos de libertad   Ʋ= n-3</t>
  </si>
  <si>
    <t>y = m x   +   b</t>
  </si>
  <si>
    <t>u2(a1) =</t>
  </si>
  <si>
    <t xml:space="preserve">  la  pendiente</t>
  </si>
  <si>
    <t>punto  de  corte</t>
  </si>
  <si>
    <t>N=</t>
  </si>
  <si>
    <t xml:space="preserve">Observaciones </t>
  </si>
  <si>
    <t>Calibrado por</t>
  </si>
  <si>
    <t>según certificado</t>
  </si>
  <si>
    <t>K =</t>
  </si>
  <si>
    <t>NC 95,45%</t>
  </si>
  <si>
    <t xml:space="preserve">Determinar la diferencia de indicación del instrumento con carga en posiciones periféricas.       </t>
  </si>
  <si>
    <t>Colocación repetitiva de la misma carga en el receptor de carga, la(s) carga(s) de prueba debería ser en lo posible de una sola pieza.</t>
  </si>
  <si>
    <t xml:space="preserve">Carga Max                      </t>
  </si>
  <si>
    <t xml:space="preserve">Carga Min                       </t>
  </si>
  <si>
    <t xml:space="preserve">División de Escala          </t>
  </si>
  <si>
    <t xml:space="preserve">Escalón de verificación    </t>
  </si>
  <si>
    <t>1.   DESCRIPCIÓN DEL EQUIPO</t>
  </si>
  <si>
    <t>BALANZA DIGITAL</t>
  </si>
  <si>
    <t>Objeto</t>
  </si>
  <si>
    <t>Apropiadas</t>
  </si>
  <si>
    <t>8.   CONDICIONES AMBIENTALES.</t>
  </si>
  <si>
    <t>10.   RESULTADOS DE MEDICIÓN.</t>
  </si>
  <si>
    <t>mg</t>
  </si>
  <si>
    <t>7.   CONDICIONES DE MEDICIÓN:</t>
  </si>
  <si>
    <t>6.1  PRUEBA DE REPETIBILIDAD</t>
  </si>
  <si>
    <t xml:space="preserve">12.   INCERTIDUMBRE EXPANDIDA DE LOS ERRORES   </t>
  </si>
  <si>
    <t>14.   OBSERVACIONES</t>
  </si>
  <si>
    <t>15.   RESULTADOS ANTES DE AJUSTE</t>
  </si>
  <si>
    <r>
      <rPr>
        <b/>
        <sz val="9"/>
        <color theme="1"/>
        <rFont val="Arial Narrow"/>
        <family val="2"/>
      </rPr>
      <t>NOTA</t>
    </r>
    <r>
      <rPr>
        <sz val="9"/>
        <color theme="1"/>
        <rFont val="Arial Narrow"/>
        <family val="2"/>
      </rPr>
      <t>: Las condiciones ambientales se refieren al sitio y momento de la calibración.</t>
    </r>
  </si>
  <si>
    <t xml:space="preserve">    ______________________________</t>
  </si>
  <si>
    <t>ERROR (mg)</t>
  </si>
  <si>
    <t>E (R)  (mg) =</t>
  </si>
  <si>
    <t xml:space="preserve">                    Firma Autorizada</t>
  </si>
  <si>
    <t>Esta prueba evalúa las indicaciones de una misma carga ubicada en diferentes posiciones del receptor de carga (figura 1), se realizó con (1/3) un tercio de la carga máxima de acuerdo a la Guia SIM MWG7/cg-01/v.00, numeral 5,3.</t>
  </si>
  <si>
    <r>
      <t>Solicitante</t>
    </r>
    <r>
      <rPr>
        <sz val="12"/>
        <color rgb="FF000000"/>
        <rFont val="Arial Narrow"/>
        <family val="2"/>
      </rPr>
      <t xml:space="preserve">                    </t>
    </r>
  </si>
  <si>
    <r>
      <rPr>
        <b/>
        <i/>
        <sz val="10"/>
        <color theme="1"/>
        <rFont val="Arial Narrow"/>
        <family val="2"/>
      </rPr>
      <t>REPETIBILIDAD</t>
    </r>
    <r>
      <rPr>
        <b/>
        <sz val="10"/>
        <color theme="1"/>
        <rFont val="Arial Narrow"/>
        <family val="2"/>
      </rPr>
      <t>:</t>
    </r>
    <r>
      <rPr>
        <sz val="10"/>
        <color theme="1"/>
        <rFont val="Arial Narrow"/>
        <family val="2"/>
      </rPr>
      <t xml:space="preserve">                </t>
    </r>
  </si>
  <si>
    <r>
      <rPr>
        <b/>
        <i/>
        <sz val="10"/>
        <color theme="1"/>
        <rFont val="Arial Narrow"/>
        <family val="2"/>
      </rPr>
      <t>ERROR DE INDICACIÓN</t>
    </r>
    <r>
      <rPr>
        <sz val="10"/>
        <color theme="1"/>
        <rFont val="Arial Narrow"/>
        <family val="2"/>
      </rPr>
      <t xml:space="preserve">:   </t>
    </r>
  </si>
  <si>
    <r>
      <t xml:space="preserve">La incertidumbre reportada corresponde a la incertidumbre de medición expandida que resulta de la incertidumbre combinada  multiplicada por el factor de cobertura K= 2  Evaluada según  Guía </t>
    </r>
    <r>
      <rPr>
        <b/>
        <sz val="12"/>
        <color theme="1"/>
        <rFont val="Arial Narrow"/>
        <family val="2"/>
      </rPr>
      <t>SIM MWG7/cg-01/v.00.</t>
    </r>
  </si>
  <si>
    <t>………………………………..FIN DE ESTE DOCUMENTO………………………………..</t>
  </si>
  <si>
    <r>
      <rPr>
        <b/>
        <i/>
        <sz val="10"/>
        <color theme="1"/>
        <rFont val="Arial Narrow"/>
        <family val="2"/>
      </rPr>
      <t>EXCENTRICIDAD</t>
    </r>
    <r>
      <rPr>
        <b/>
        <sz val="10"/>
        <color theme="1"/>
        <rFont val="Arial Narrow"/>
        <family val="2"/>
      </rPr>
      <t>:</t>
    </r>
    <r>
      <rPr>
        <sz val="10"/>
        <color theme="1"/>
        <rFont val="Arial Narrow"/>
        <family val="2"/>
      </rPr>
      <t xml:space="preserve">                    </t>
    </r>
  </si>
  <si>
    <r>
      <rPr>
        <b/>
        <sz val="12"/>
        <color theme="1"/>
        <rFont val="Arial Narrow"/>
        <family val="2"/>
      </rPr>
      <t>· </t>
    </r>
    <r>
      <rPr>
        <sz val="12"/>
        <color theme="1"/>
        <rFont val="Arial Narrow"/>
        <family val="2"/>
      </rPr>
      <t>    Revisar periódicamente el comportamiento de la balanza mediante el control de pesas calibradas.</t>
    </r>
  </si>
  <si>
    <r>
      <rPr>
        <b/>
        <sz val="12"/>
        <color theme="1"/>
        <rFont val="Arial Narrow"/>
        <family val="2"/>
      </rPr>
      <t>·  </t>
    </r>
    <r>
      <rPr>
        <sz val="12"/>
        <color theme="1"/>
        <rFont val="Arial Narrow"/>
        <family val="2"/>
      </rPr>
      <t>  La balanza debe ubicarse en una base apropiada para evitar vibraciones.</t>
    </r>
  </si>
  <si>
    <r>
      <t xml:space="preserve">3.   RESULTADOS DEL EXAMEN FÍSICO </t>
    </r>
    <r>
      <rPr>
        <sz val="10"/>
        <color theme="1"/>
        <rFont val="Arial Narrow"/>
        <family val="2"/>
      </rPr>
      <t xml:space="preserve">         </t>
    </r>
    <r>
      <rPr>
        <sz val="12"/>
        <color theme="1"/>
        <rFont val="Arial Narrow"/>
        <family val="2"/>
      </rPr>
      <t>El equipo se encuentra en buenas condiciones</t>
    </r>
  </si>
  <si>
    <t>FECHA DE CALIBRACIÓN</t>
  </si>
  <si>
    <t>CLASE DE PESAS</t>
  </si>
  <si>
    <r>
      <t>Masa  Convencional (g)  m</t>
    </r>
    <r>
      <rPr>
        <vertAlign val="subscript"/>
        <sz val="11"/>
        <rFont val="Arial"/>
        <family val="2"/>
      </rPr>
      <t>c</t>
    </r>
  </si>
  <si>
    <r>
      <t>m</t>
    </r>
    <r>
      <rPr>
        <vertAlign val="subscript"/>
        <sz val="11"/>
        <color theme="1"/>
        <rFont val="Arial"/>
        <family val="2"/>
      </rPr>
      <t>c</t>
    </r>
  </si>
  <si>
    <r>
      <t>pI</t>
    </r>
    <r>
      <rPr>
        <b/>
        <i/>
        <vertAlign val="superscript"/>
        <sz val="11"/>
        <color theme="1"/>
        <rFont val="Arial"/>
        <family val="2"/>
      </rPr>
      <t>2</t>
    </r>
  </si>
  <si>
    <r>
      <t>u</t>
    </r>
    <r>
      <rPr>
        <b/>
        <i/>
        <vertAlign val="superscript"/>
        <sz val="11"/>
        <color theme="1"/>
        <rFont val="Arial"/>
        <family val="2"/>
      </rPr>
      <t>2</t>
    </r>
    <r>
      <rPr>
        <b/>
        <i/>
        <sz val="11"/>
        <color theme="1"/>
        <rFont val="Arial"/>
        <family val="2"/>
      </rPr>
      <t>(Eappr)</t>
    </r>
  </si>
  <si>
    <r>
      <t>min X2 = min Chi</t>
    </r>
    <r>
      <rPr>
        <b/>
        <i/>
        <vertAlign val="superscript"/>
        <sz val="11"/>
        <rFont val="Arial"/>
        <family val="2"/>
      </rPr>
      <t>2</t>
    </r>
  </si>
  <si>
    <r>
      <t>min X</t>
    </r>
    <r>
      <rPr>
        <b/>
        <i/>
        <vertAlign val="superscript"/>
        <sz val="11"/>
        <color theme="0"/>
        <rFont val="Arial"/>
        <family val="2"/>
      </rPr>
      <t>2</t>
    </r>
    <r>
      <rPr>
        <b/>
        <i/>
        <sz val="11"/>
        <color theme="0"/>
        <rFont val="Arial"/>
        <family val="2"/>
      </rPr>
      <t xml:space="preserve">  =</t>
    </r>
  </si>
  <si>
    <r>
      <t>a</t>
    </r>
    <r>
      <rPr>
        <b/>
        <i/>
        <vertAlign val="subscript"/>
        <sz val="11"/>
        <color theme="0"/>
        <rFont val="Arial"/>
        <family val="2"/>
      </rPr>
      <t xml:space="preserve">1    </t>
    </r>
  </si>
  <si>
    <r>
      <t>a</t>
    </r>
    <r>
      <rPr>
        <b/>
        <i/>
        <vertAlign val="subscript"/>
        <sz val="11"/>
        <color theme="1"/>
        <rFont val="Arial"/>
        <family val="2"/>
      </rPr>
      <t>1</t>
    </r>
    <r>
      <rPr>
        <b/>
        <i/>
        <vertAlign val="superscript"/>
        <sz val="11"/>
        <color theme="1"/>
        <rFont val="Arial"/>
        <family val="2"/>
      </rPr>
      <t>2</t>
    </r>
    <r>
      <rPr>
        <b/>
        <i/>
        <sz val="11"/>
        <color theme="1"/>
        <rFont val="Arial"/>
        <family val="2"/>
      </rPr>
      <t>=</t>
    </r>
  </si>
  <si>
    <r>
      <t>u</t>
    </r>
    <r>
      <rPr>
        <b/>
        <i/>
        <vertAlign val="superscript"/>
        <sz val="11"/>
        <color theme="0"/>
        <rFont val="Arial"/>
        <family val="2"/>
      </rPr>
      <t>2</t>
    </r>
    <r>
      <rPr>
        <b/>
        <i/>
        <sz val="11"/>
        <color theme="0"/>
        <rFont val="Arial"/>
        <family val="2"/>
      </rPr>
      <t>(R) =</t>
    </r>
  </si>
  <si>
    <r>
      <t>u</t>
    </r>
    <r>
      <rPr>
        <b/>
        <i/>
        <vertAlign val="superscript"/>
        <sz val="11"/>
        <color theme="1"/>
        <rFont val="Arial"/>
        <family val="2"/>
      </rPr>
      <t>2</t>
    </r>
    <r>
      <rPr>
        <b/>
        <i/>
        <sz val="11"/>
        <color theme="1"/>
        <rFont val="Arial"/>
        <family val="2"/>
      </rPr>
      <t>(R(dys)) =</t>
    </r>
  </si>
  <si>
    <r>
      <t>u</t>
    </r>
    <r>
      <rPr>
        <b/>
        <vertAlign val="superscript"/>
        <sz val="11"/>
        <rFont val="Arial"/>
        <family val="2"/>
      </rPr>
      <t>2</t>
    </r>
    <r>
      <rPr>
        <b/>
        <sz val="11"/>
        <rFont val="Arial"/>
        <family val="2"/>
      </rPr>
      <t>(Eappr)</t>
    </r>
  </si>
  <si>
    <r>
      <t>R</t>
    </r>
    <r>
      <rPr>
        <b/>
        <vertAlign val="superscript"/>
        <sz val="11"/>
        <rFont val="Arial"/>
        <family val="2"/>
      </rPr>
      <t>2</t>
    </r>
  </si>
  <si>
    <t>Estima el desempeño del instrumento en el alcance total de su medición.</t>
  </si>
  <si>
    <t>DIF. (g)</t>
  </si>
  <si>
    <t>Error de Indicación en mg</t>
  </si>
  <si>
    <t>Sartorius</t>
  </si>
  <si>
    <t>13.   INCERTIDUMBRE DE LA MEDICIÓN.</t>
  </si>
  <si>
    <t>Indicación 1(g)</t>
  </si>
  <si>
    <t>11.   MODELO MATEMÁTICO</t>
  </si>
  <si>
    <r>
      <rPr>
        <b/>
        <sz val="12"/>
        <color theme="1"/>
        <rFont val="Arial Narrow"/>
        <family val="2"/>
      </rPr>
      <t xml:space="preserve">·   </t>
    </r>
    <r>
      <rPr>
        <sz val="12"/>
        <color theme="1"/>
        <rFont val="Arial Narrow"/>
        <family val="2"/>
      </rPr>
      <t>  La conformidad del equipo es responsabilidad del usuario según el uso y tolerancias establecidas                          .      en los procesos.</t>
    </r>
  </si>
  <si>
    <t>Información</t>
  </si>
  <si>
    <t>No</t>
  </si>
  <si>
    <t>Fecha de Recepción</t>
  </si>
  <si>
    <t>Codigo interno</t>
  </si>
  <si>
    <t>Certificado</t>
  </si>
  <si>
    <t>Pesas</t>
  </si>
  <si>
    <t>Marcación</t>
  </si>
  <si>
    <t>Valor nominal (g)</t>
  </si>
  <si>
    <t>Error (mg)</t>
  </si>
  <si>
    <t>Incertidumbre de calibración (mg)</t>
  </si>
  <si>
    <r>
      <t>Densidad del aire kg/m</t>
    </r>
    <r>
      <rPr>
        <b/>
        <vertAlign val="superscript"/>
        <sz val="12"/>
        <color theme="1"/>
        <rFont val="Arial"/>
        <family val="2"/>
      </rPr>
      <t>3</t>
    </r>
  </si>
  <si>
    <t>Identificación Interna</t>
  </si>
  <si>
    <t xml:space="preserve">E2   1 g  </t>
  </si>
  <si>
    <t>E 2</t>
  </si>
  <si>
    <t>AJS</t>
  </si>
  <si>
    <t>M-001</t>
  </si>
  <si>
    <t xml:space="preserve">E2   2 g  </t>
  </si>
  <si>
    <t>AKI</t>
  </si>
  <si>
    <t xml:space="preserve">E2   2 g punto </t>
  </si>
  <si>
    <t>AKJ</t>
  </si>
  <si>
    <t xml:space="preserve">E2   5 g  </t>
  </si>
  <si>
    <t>AGU</t>
  </si>
  <si>
    <t xml:space="preserve">E2   10 g  </t>
  </si>
  <si>
    <t>AH3</t>
  </si>
  <si>
    <t xml:space="preserve">E2   20 g  </t>
  </si>
  <si>
    <t>AJ1</t>
  </si>
  <si>
    <t xml:space="preserve">E2   20 g punto </t>
  </si>
  <si>
    <t>AKA</t>
  </si>
  <si>
    <t xml:space="preserve">E2   50 g  </t>
  </si>
  <si>
    <t>AHL</t>
  </si>
  <si>
    <t xml:space="preserve">E2   100 g  </t>
  </si>
  <si>
    <t>AJG</t>
  </si>
  <si>
    <t xml:space="preserve">E2   200 g  </t>
  </si>
  <si>
    <t>ALZ</t>
  </si>
  <si>
    <t xml:space="preserve">E2   200 g punto </t>
  </si>
  <si>
    <t>ALW</t>
  </si>
  <si>
    <t xml:space="preserve">E2   500 g  </t>
  </si>
  <si>
    <t>ACT</t>
  </si>
  <si>
    <t xml:space="preserve">E2   1000 g  </t>
  </si>
  <si>
    <t>ABN</t>
  </si>
  <si>
    <t xml:space="preserve">E2   2000 g  </t>
  </si>
  <si>
    <t>AC1</t>
  </si>
  <si>
    <t xml:space="preserve">E2   2000 g punto </t>
  </si>
  <si>
    <t>ABY</t>
  </si>
  <si>
    <t xml:space="preserve">E2   5000 g  </t>
  </si>
  <si>
    <t>AB9</t>
  </si>
  <si>
    <t>E2   10000 g</t>
  </si>
  <si>
    <t>AAM</t>
  </si>
  <si>
    <t xml:space="preserve">F1   1 g  </t>
  </si>
  <si>
    <t>F 1</t>
  </si>
  <si>
    <t>M-002</t>
  </si>
  <si>
    <t xml:space="preserve">F1   2 g  </t>
  </si>
  <si>
    <t xml:space="preserve">F1   2 g punto </t>
  </si>
  <si>
    <t>2*</t>
  </si>
  <si>
    <t xml:space="preserve">F1   5 g  </t>
  </si>
  <si>
    <t>Intervalo de Medición (g) Clase M1</t>
  </si>
  <si>
    <t xml:space="preserve">F1   10 g  </t>
  </si>
  <si>
    <t>A</t>
  </si>
  <si>
    <t xml:space="preserve">F1   20 g  </t>
  </si>
  <si>
    <t xml:space="preserve">F1   20 g punto </t>
  </si>
  <si>
    <t>20*</t>
  </si>
  <si>
    <t xml:space="preserve">F1   50 g  </t>
  </si>
  <si>
    <t xml:space="preserve">F1   100 g  </t>
  </si>
  <si>
    <t>N °  Certificado Aderido</t>
  </si>
  <si>
    <t xml:space="preserve">F1   200 g  </t>
  </si>
  <si>
    <t xml:space="preserve">F1   200 g punto </t>
  </si>
  <si>
    <t>200*</t>
  </si>
  <si>
    <t xml:space="preserve">F1   500 g  </t>
  </si>
  <si>
    <t xml:space="preserve">F1   1000 g  </t>
  </si>
  <si>
    <t xml:space="preserve">F1   2000 g  </t>
  </si>
  <si>
    <t xml:space="preserve">F1   2000 g punto </t>
  </si>
  <si>
    <t xml:space="preserve">F1   5000 g  </t>
  </si>
  <si>
    <t>F1   10000 g</t>
  </si>
  <si>
    <t>M-003</t>
  </si>
  <si>
    <t>F1   20000 g</t>
  </si>
  <si>
    <t>M-004</t>
  </si>
  <si>
    <t xml:space="preserve">F1 R  1 g  </t>
  </si>
  <si>
    <t>Rice Lake</t>
  </si>
  <si>
    <t>No identifica</t>
  </si>
  <si>
    <t>No porta</t>
  </si>
  <si>
    <t>Cap-376-16</t>
  </si>
  <si>
    <t>M-016</t>
  </si>
  <si>
    <t xml:space="preserve">F1 R  2 g  </t>
  </si>
  <si>
    <t xml:space="preserve">F1 R  2 g punto </t>
  </si>
  <si>
    <t>punto</t>
  </si>
  <si>
    <t xml:space="preserve">F1 R  5 g  </t>
  </si>
  <si>
    <t xml:space="preserve">F1 R  10 g  </t>
  </si>
  <si>
    <t xml:space="preserve">F1 R  20 g  </t>
  </si>
  <si>
    <t xml:space="preserve">F1 R  20 g punto </t>
  </si>
  <si>
    <t xml:space="preserve">F1 R  50 g  </t>
  </si>
  <si>
    <t xml:space="preserve">F1 R  100 g  </t>
  </si>
  <si>
    <t xml:space="preserve">F1 R  200 g  </t>
  </si>
  <si>
    <t xml:space="preserve">F1 R  200 g punto </t>
  </si>
  <si>
    <t xml:space="preserve">F1 R  500 g  </t>
  </si>
  <si>
    <t xml:space="preserve">F1 R  1000 g  </t>
  </si>
  <si>
    <t xml:space="preserve">F1 R  2000 g  </t>
  </si>
  <si>
    <t xml:space="preserve">F1 R  2000 g punto </t>
  </si>
  <si>
    <t xml:space="preserve">F1 R  5000 g  </t>
  </si>
  <si>
    <t>Metrologos</t>
  </si>
  <si>
    <t>Nombre del Metrologo</t>
  </si>
  <si>
    <t>AV</t>
  </si>
  <si>
    <t>Arcesio Velandia Carreño</t>
  </si>
  <si>
    <t xml:space="preserve"> Director Tecnico / Sust SGL</t>
  </si>
  <si>
    <t>LH</t>
  </si>
  <si>
    <t>Luis Henry Barreto Rojas</t>
  </si>
  <si>
    <t xml:space="preserve"> Sistema de Gestión / Sust Dir Tecnico</t>
  </si>
  <si>
    <t>PV</t>
  </si>
  <si>
    <t>Pedro Jose Vargas Lopéz</t>
  </si>
  <si>
    <t>Lab Volumen / Sust Lab Masa</t>
  </si>
  <si>
    <t>EA</t>
  </si>
  <si>
    <t>Elvis Aguirre Romero</t>
  </si>
  <si>
    <t xml:space="preserve"> Lab Masa / Sust Lab Volumen</t>
  </si>
  <si>
    <t>Patron Utilizado en la Calibración - Termohigrometros</t>
  </si>
  <si>
    <r>
      <t xml:space="preserve">Unidades en   " °C ,  rH%  </t>
    </r>
    <r>
      <rPr>
        <sz val="14"/>
        <color theme="0"/>
        <rFont val="Arial"/>
        <family val="2"/>
      </rPr>
      <t>y</t>
    </r>
    <r>
      <rPr>
        <b/>
        <sz val="14"/>
        <color theme="0"/>
        <rFont val="Arial"/>
        <family val="2"/>
      </rPr>
      <t xml:space="preserve"> hPa " </t>
    </r>
    <r>
      <rPr>
        <sz val="14"/>
        <color theme="0"/>
        <rFont val="Arial"/>
        <family val="2"/>
      </rPr>
      <t xml:space="preserve"> según corresponda</t>
    </r>
  </si>
  <si>
    <t>Identificación / Serie</t>
  </si>
  <si>
    <t>Capacidad (Según Certificado)</t>
  </si>
  <si>
    <t>División de Escala / Resolución</t>
  </si>
  <si>
    <t>Corrección (Según Certificado)</t>
  </si>
  <si>
    <t>Incertidumbre del Certificado</t>
  </si>
  <si>
    <t>Factor de Cobertura (Según Certificado)</t>
  </si>
  <si>
    <t>Fecha de Calibración</t>
  </si>
  <si>
    <t>Trazabilidad y numero</t>
  </si>
  <si>
    <t xml:space="preserve">  V-002 . </t>
  </si>
  <si>
    <t>Lufft Opus 20</t>
  </si>
  <si>
    <t xml:space="preserve">  V-002 ..</t>
  </si>
  <si>
    <t xml:space="preserve">  V-002 …</t>
  </si>
  <si>
    <t>M-012 .</t>
  </si>
  <si>
    <t>M-012 ..</t>
  </si>
  <si>
    <t>M-012 …</t>
  </si>
  <si>
    <t>M-013 .</t>
  </si>
  <si>
    <t>M-013 ..</t>
  </si>
  <si>
    <t>M-013 …</t>
  </si>
  <si>
    <t>M-010 .</t>
  </si>
  <si>
    <t>M-010 ..</t>
  </si>
  <si>
    <t>M-010 …</t>
  </si>
  <si>
    <t>M-011 .</t>
  </si>
  <si>
    <t>M-011 ..</t>
  </si>
  <si>
    <t>M-011 …</t>
  </si>
  <si>
    <r>
      <t xml:space="preserve">masa para completar la carga  </t>
    </r>
    <r>
      <rPr>
        <sz val="11"/>
        <color rgb="FFFF0000"/>
        <rFont val="Arial"/>
        <family val="2"/>
      </rPr>
      <t>Max</t>
    </r>
    <r>
      <rPr>
        <sz val="11"/>
        <color theme="1"/>
        <rFont val="Arial"/>
        <family val="2"/>
      </rPr>
      <t xml:space="preserve"> (g)</t>
    </r>
  </si>
  <si>
    <t>Viajeras F1  5 g</t>
  </si>
  <si>
    <t>Viajeras F1  200 g</t>
  </si>
  <si>
    <t>Viajeras F1  1 kg</t>
  </si>
  <si>
    <t>Viajeras F1  2 kg</t>
  </si>
  <si>
    <t>Viajeras F1  5 kg</t>
  </si>
  <si>
    <t>F1</t>
  </si>
  <si>
    <t>Datos de las Pesas Patrón</t>
  </si>
  <si>
    <t>Carga para Excentricidad g</t>
  </si>
  <si>
    <t>Carga para Repetibilidad g</t>
  </si>
  <si>
    <t>CMC Balanza</t>
  </si>
  <si>
    <t>8200  kg</t>
  </si>
  <si>
    <t>Metrologo</t>
  </si>
  <si>
    <t xml:space="preserve">Division de Escala (d)  (g)  </t>
  </si>
  <si>
    <t>CAP-377-16</t>
  </si>
  <si>
    <t>M-015</t>
  </si>
  <si>
    <t>Masa Convensional (g)</t>
  </si>
  <si>
    <r>
      <t>m</t>
    </r>
    <r>
      <rPr>
        <vertAlign val="subscript"/>
        <sz val="11"/>
        <color theme="1"/>
        <rFont val="Arial"/>
        <family val="2"/>
      </rPr>
      <t>N (g)</t>
    </r>
  </si>
  <si>
    <t>DATOS DE LAS PESAS PATRÓN</t>
  </si>
  <si>
    <t>Juego Viajeras</t>
  </si>
  <si>
    <t>Juego de Pesas</t>
  </si>
  <si>
    <t>Vansolix  S.A</t>
  </si>
  <si>
    <t xml:space="preserve">INM </t>
  </si>
  <si>
    <t xml:space="preserve"> Juego Patron de Referencia</t>
  </si>
  <si>
    <t>Juego patron de Trabajo 1</t>
  </si>
  <si>
    <t>Juego patron de Trabajo 2</t>
  </si>
  <si>
    <t>Patron de Trabajo</t>
  </si>
  <si>
    <t>Mettler Toledo</t>
  </si>
  <si>
    <t>No identificado</t>
  </si>
  <si>
    <t>0,22.0714.0802.024</t>
  </si>
  <si>
    <t>INM 1994</t>
  </si>
  <si>
    <t>INM 1995</t>
  </si>
  <si>
    <t>INM 1997</t>
  </si>
  <si>
    <t>INM 2147</t>
  </si>
  <si>
    <t>0,26.0714.0802.024</t>
  </si>
  <si>
    <t>INM 1996</t>
  </si>
  <si>
    <t>INM 1999</t>
  </si>
  <si>
    <t>INM 2148</t>
  </si>
  <si>
    <t>CAH-061-16</t>
  </si>
  <si>
    <t>CAT-145-16</t>
  </si>
  <si>
    <t>CDT CERT-16-EMP-1057-2567</t>
  </si>
  <si>
    <t>CAT-144-16</t>
  </si>
  <si>
    <t>CAH-060-16</t>
  </si>
  <si>
    <t>CDT CERT-16-EMP-1056-2567</t>
  </si>
  <si>
    <t>0,23.0714.0802.024</t>
  </si>
  <si>
    <t>INM 1998</t>
  </si>
  <si>
    <t>INM 2149</t>
  </si>
  <si>
    <t>HOJA DE CALCULO DE VERIFICACIONES INTERMEDIAS DE BALANZAS</t>
  </si>
  <si>
    <t>Fecha de Verificación</t>
  </si>
  <si>
    <t>Lugar de Verificación</t>
  </si>
  <si>
    <t>Fecha de verificación</t>
  </si>
  <si>
    <t>Datos de la Balanza a Verificar</t>
  </si>
  <si>
    <t>Informe</t>
  </si>
  <si>
    <t>DATOS DE LA BALANZA A VERIFICAR</t>
  </si>
  <si>
    <t>4.   MÉTODO DE VERIFICACIÓN UTILIZADO</t>
  </si>
  <si>
    <t>En la verificación se utilizo el método de comparación directa con masa patrón</t>
  </si>
  <si>
    <t>5.   PROCEDIMIENTO DE VERIFICACIÓN</t>
  </si>
  <si>
    <t>6.   LUGAR Y DIRECCIÓN DE VERIFICACIÓN :</t>
  </si>
  <si>
    <t>9.   TRAZABILIDAD DEL PATRON QUE SE USO EN LA VERIFICACIÓN.</t>
  </si>
  <si>
    <t>medición en condición de verificación</t>
  </si>
  <si>
    <r>
      <rPr>
        <b/>
        <sz val="12"/>
        <color theme="1"/>
        <rFont val="Arial Narrow"/>
        <family val="2"/>
      </rPr>
      <t>·  </t>
    </r>
    <r>
      <rPr>
        <sz val="12"/>
        <color theme="1"/>
        <rFont val="Arial Narrow"/>
        <family val="2"/>
      </rPr>
      <t>  En este informe el signo decimal es la coma (,).</t>
    </r>
  </si>
  <si>
    <r>
      <rPr>
        <b/>
        <sz val="12"/>
        <color theme="1"/>
        <rFont val="Arial Narrow"/>
        <family val="2"/>
      </rPr>
      <t>·  </t>
    </r>
    <r>
      <rPr>
        <sz val="12"/>
        <color theme="1"/>
        <rFont val="Arial Narrow"/>
        <family val="2"/>
      </rPr>
      <t>  El desplazamiento de la  balanza a otro lugar con otras condiciones puede invalidar la verificación.</t>
    </r>
  </si>
  <si>
    <t xml:space="preserve">         VERIFICADO POR:</t>
  </si>
  <si>
    <t>Este Informe de Verificación documenta que el instrumento se examinó y  se comparó en las instalaciones del cliente con trazabilidad de los patrones del INM.</t>
  </si>
  <si>
    <t>Se empleó el método de comparación directa con los patrones trazables por el INM siguiendo los lineamientos, Guía para la calibración de los instrumentos para pesaje de funcionamiento no automático (SIM MWG7/cg-01v.00 - EURAMET/cg-18/v.02),aplicando las siguientes pruebas:</t>
  </si>
  <si>
    <t>2.   CODIGO INTERNO</t>
  </si>
  <si>
    <t xml:space="preserve"> Fecha de elaboración: </t>
  </si>
  <si>
    <t xml:space="preserve">Escalón de Verificación     en  (g)  </t>
  </si>
  <si>
    <t>Cargas para Error de Indicación (Exactitud)                                         según certificado</t>
  </si>
  <si>
    <t>Marcación de la pesa</t>
  </si>
  <si>
    <t>Indicación (g)</t>
  </si>
  <si>
    <t>s máxima (mg)</t>
  </si>
  <si>
    <t>Indicación 2(g)</t>
  </si>
  <si>
    <t>Código interno</t>
  </si>
  <si>
    <t xml:space="preserve">División de Escala (d)                  en (g)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</si>
</sst>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0.000"/>
    <numFmt numFmtId="165" formatCode="0.00000"/>
    <numFmt numFmtId="166" formatCode="0.000000"/>
    <numFmt numFmtId="167" formatCode="0.0000000"/>
    <numFmt numFmtId="168" formatCode="yyyy\-mm\-dd;@"/>
    <numFmt numFmtId="169" formatCode="0.0000"/>
    <numFmt numFmtId="170" formatCode="0.0E+00"/>
    <numFmt numFmtId="171" formatCode="0.0"/>
    <numFmt numFmtId="172" formatCode="0.000000000"/>
    <numFmt numFmtId="173" formatCode="0.00000000"/>
    <numFmt numFmtId="174" formatCode="0.000E+00"/>
    <numFmt numFmtId="175" formatCode="0_ &quot;g&quot;"/>
    <numFmt numFmtId="176" formatCode="0_ &quot;kg&quot;"/>
    <numFmt numFmtId="177" formatCode="h:mm:ss;@"/>
    <numFmt numFmtId="178" formatCode="0_ &quot;mN&quot;"/>
  </numFmts>
  <fonts count="50" x14ac:knownFonts="1">
    <font>
      <sz val="11"/>
      <color theme="1"/>
      <name val="Calibri"/>
      <family val="2"/>
      <scheme val="minor"/>
    </font>
    <font>
      <sz val="11"/>
      <color theme="1"/>
      <name val="Calibri"/>
      <family val="2"/>
      <scheme val="minor"/>
    </font>
    <font>
      <sz val="11"/>
      <color rgb="FF006100"/>
      <name val="Calibri"/>
      <family val="2"/>
      <scheme val="minor"/>
    </font>
    <font>
      <b/>
      <sz val="16"/>
      <name val="Arial"/>
      <family val="2"/>
    </font>
    <font>
      <b/>
      <sz val="10"/>
      <color theme="1"/>
      <name val="Arial"/>
      <family val="2"/>
    </font>
    <font>
      <sz val="10"/>
      <color theme="1"/>
      <name val="Arial"/>
      <family val="2"/>
    </font>
    <font>
      <sz val="10"/>
      <color rgb="FF000000"/>
      <name val="Arial"/>
      <family val="2"/>
    </font>
    <font>
      <sz val="12"/>
      <color theme="1"/>
      <name val="Arial"/>
      <family val="2"/>
    </font>
    <font>
      <b/>
      <sz val="12"/>
      <color theme="1"/>
      <name val="Arial"/>
      <family val="2"/>
    </font>
    <font>
      <sz val="12"/>
      <color theme="1"/>
      <name val="Arial Narrow"/>
      <family val="2"/>
    </font>
    <font>
      <b/>
      <sz val="12"/>
      <color theme="1"/>
      <name val="Arial Narrow"/>
      <family val="2"/>
    </font>
    <font>
      <b/>
      <sz val="9"/>
      <color theme="1"/>
      <name val="Arial Narrow"/>
      <family val="2"/>
    </font>
    <font>
      <b/>
      <sz val="8"/>
      <color theme="1"/>
      <name val="Arial Narrow"/>
      <family val="2"/>
    </font>
    <font>
      <b/>
      <sz val="10"/>
      <color theme="1"/>
      <name val="Arial Narrow"/>
      <family val="2"/>
    </font>
    <font>
      <b/>
      <i/>
      <sz val="10"/>
      <color theme="1"/>
      <name val="Arial Narrow"/>
      <family val="2"/>
    </font>
    <font>
      <sz val="10"/>
      <color theme="1"/>
      <name val="Arial Narrow"/>
      <family val="2"/>
    </font>
    <font>
      <sz val="9"/>
      <color theme="1"/>
      <name val="Arial Narrow"/>
      <family val="2"/>
    </font>
    <font>
      <sz val="12"/>
      <color rgb="FF000000"/>
      <name val="Arial Narrow"/>
      <family val="2"/>
    </font>
    <font>
      <sz val="11"/>
      <color theme="1"/>
      <name val="Arial Narrow"/>
      <family val="2"/>
    </font>
    <font>
      <sz val="11"/>
      <color theme="1"/>
      <name val="Arial"/>
      <family val="2"/>
    </font>
    <font>
      <b/>
      <sz val="11"/>
      <name val="Arial"/>
      <family val="2"/>
    </font>
    <font>
      <sz val="11"/>
      <name val="Arial"/>
      <family val="2"/>
    </font>
    <font>
      <b/>
      <sz val="11"/>
      <color theme="0"/>
      <name val="Arial"/>
      <family val="2"/>
    </font>
    <font>
      <vertAlign val="subscript"/>
      <sz val="11"/>
      <name val="Arial"/>
      <family val="2"/>
    </font>
    <font>
      <vertAlign val="subscript"/>
      <sz val="11"/>
      <color theme="1"/>
      <name val="Arial"/>
      <family val="2"/>
    </font>
    <font>
      <b/>
      <sz val="11"/>
      <color theme="1"/>
      <name val="Arial"/>
      <family val="2"/>
    </font>
    <font>
      <sz val="11"/>
      <color theme="0"/>
      <name val="Arial"/>
      <family val="2"/>
    </font>
    <font>
      <sz val="10"/>
      <color theme="0"/>
      <name val="Arial"/>
      <family val="2"/>
    </font>
    <font>
      <b/>
      <sz val="11"/>
      <color theme="0" tint="-4.9989318521683403E-2"/>
      <name val="Arial"/>
      <family val="2"/>
    </font>
    <font>
      <b/>
      <sz val="10"/>
      <name val="Arial"/>
      <family val="2"/>
    </font>
    <font>
      <b/>
      <i/>
      <sz val="11"/>
      <color theme="1"/>
      <name val="Arial"/>
      <family val="2"/>
    </font>
    <font>
      <b/>
      <i/>
      <vertAlign val="superscript"/>
      <sz val="11"/>
      <color theme="1"/>
      <name val="Arial"/>
      <family val="2"/>
    </font>
    <font>
      <b/>
      <i/>
      <vertAlign val="superscript"/>
      <sz val="11"/>
      <name val="Arial"/>
      <family val="2"/>
    </font>
    <font>
      <b/>
      <i/>
      <sz val="11"/>
      <color theme="0"/>
      <name val="Arial"/>
      <family val="2"/>
    </font>
    <font>
      <b/>
      <i/>
      <vertAlign val="superscript"/>
      <sz val="11"/>
      <color theme="0"/>
      <name val="Arial"/>
      <family val="2"/>
    </font>
    <font>
      <b/>
      <i/>
      <vertAlign val="subscript"/>
      <sz val="11"/>
      <color theme="0"/>
      <name val="Arial"/>
      <family val="2"/>
    </font>
    <font>
      <b/>
      <i/>
      <vertAlign val="subscript"/>
      <sz val="11"/>
      <color theme="1"/>
      <name val="Arial"/>
      <family val="2"/>
    </font>
    <font>
      <i/>
      <sz val="11"/>
      <color theme="1"/>
      <name val="Arial"/>
      <family val="2"/>
    </font>
    <font>
      <sz val="22"/>
      <color theme="0"/>
      <name val="Arial"/>
      <family val="2"/>
    </font>
    <font>
      <b/>
      <i/>
      <sz val="12"/>
      <color theme="1"/>
      <name val="Arial"/>
      <family val="2"/>
    </font>
    <font>
      <b/>
      <vertAlign val="superscript"/>
      <sz val="11"/>
      <name val="Arial"/>
      <family val="2"/>
    </font>
    <font>
      <sz val="26"/>
      <name val="Arial"/>
      <family val="2"/>
    </font>
    <font>
      <b/>
      <sz val="14"/>
      <color theme="0"/>
      <name val="Arial"/>
      <family val="2"/>
    </font>
    <font>
      <b/>
      <sz val="12"/>
      <name val="Arial"/>
      <family val="2"/>
    </font>
    <font>
      <b/>
      <vertAlign val="superscript"/>
      <sz val="12"/>
      <color theme="1"/>
      <name val="Arial"/>
      <family val="2"/>
    </font>
    <font>
      <sz val="14"/>
      <color theme="0"/>
      <name val="Arial"/>
      <family val="2"/>
    </font>
    <font>
      <b/>
      <sz val="14"/>
      <color theme="1"/>
      <name val="Arial"/>
      <family val="2"/>
    </font>
    <font>
      <sz val="11"/>
      <color rgb="FFFF0000"/>
      <name val="Arial"/>
      <family val="2"/>
    </font>
    <font>
      <sz val="12"/>
      <color theme="0"/>
      <name val="Arial"/>
      <family val="2"/>
    </font>
    <font>
      <sz val="10"/>
      <name val="Arial Narrow"/>
      <family val="2"/>
    </font>
  </fonts>
  <fills count="18">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rgb="FFC6EFCE"/>
      </patternFill>
    </fill>
    <fill>
      <patternFill patternType="solid">
        <fgColor rgb="FF8DB4E2"/>
        <bgColor indexed="64"/>
      </patternFill>
    </fill>
    <fill>
      <patternFill patternType="solid">
        <fgColor rgb="FFFFF2CC"/>
        <bgColor indexed="64"/>
      </patternFill>
    </fill>
    <fill>
      <patternFill patternType="solid">
        <fgColor rgb="FF1F4E78"/>
        <bgColor indexed="64"/>
      </patternFill>
    </fill>
    <fill>
      <patternFill patternType="solid">
        <fgColor rgb="FFDDEBF7"/>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FFFF"/>
        <bgColor indexed="64"/>
      </patternFill>
    </fill>
    <fill>
      <patternFill patternType="solid">
        <fgColor rgb="FF0070C0"/>
        <bgColor indexed="64"/>
      </patternFill>
    </fill>
    <fill>
      <gradientFill degree="90">
        <stop position="0">
          <color rgb="FFFFFF00"/>
        </stop>
        <stop position="1">
          <color rgb="FF7030A0"/>
        </stop>
      </gradientFill>
    </fill>
    <fill>
      <patternFill patternType="solid">
        <fgColor theme="0"/>
        <bgColor auto="1"/>
      </patternFill>
    </fill>
    <fill>
      <patternFill patternType="darkGray">
        <bgColor rgb="FF0070C0"/>
      </patternFill>
    </fill>
    <fill>
      <patternFill patternType="solid">
        <fgColor rgb="FFF4B084"/>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
      <left style="medium">
        <color indexed="64"/>
      </left>
      <right style="medium">
        <color indexed="64"/>
      </right>
      <top style="medium">
        <color indexed="64"/>
      </top>
      <bottom style="medium">
        <color indexed="64"/>
      </bottom>
      <diagonal/>
    </border>
    <border>
      <left style="thin">
        <color theme="5" tint="-0.24994659260841701"/>
      </left>
      <right style="thin">
        <color theme="5" tint="-0.24994659260841701"/>
      </right>
      <top/>
      <bottom style="thin">
        <color theme="5" tint="-0.24994659260841701"/>
      </bottom>
      <diagonal/>
    </border>
    <border>
      <left/>
      <right/>
      <top style="thin">
        <color theme="0"/>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5">
    <xf numFmtId="0" fontId="0" fillId="0" borderId="0"/>
    <xf numFmtId="9" fontId="1" fillId="0" borderId="0" applyFont="0" applyFill="0" applyBorder="0" applyAlignment="0" applyProtection="0"/>
    <xf numFmtId="0" fontId="2" fillId="5" borderId="0" applyNumberFormat="0" applyBorder="0" applyAlignment="0" applyProtection="0"/>
    <xf numFmtId="2" fontId="5" fillId="14" borderId="5" applyFont="0" applyBorder="0" applyAlignment="0">
      <alignment horizontal="center" vertical="center" wrapText="1"/>
      <protection locked="0"/>
    </xf>
    <xf numFmtId="0" fontId="7" fillId="16" borderId="1" applyBorder="0">
      <alignment horizontal="center" vertical="center"/>
    </xf>
  </cellStyleXfs>
  <cellXfs count="690">
    <xf numFmtId="0" fontId="0" fillId="0" borderId="0" xfId="0"/>
    <xf numFmtId="0" fontId="4" fillId="0" borderId="0" xfId="0" applyFont="1" applyAlignment="1">
      <alignment horizontal="left" vertical="center" wrapText="1"/>
    </xf>
    <xf numFmtId="0" fontId="7" fillId="0" borderId="0" xfId="0" applyFont="1" applyBorder="1" applyAlignment="1">
      <alignment horizontal="center"/>
    </xf>
    <xf numFmtId="0" fontId="7" fillId="0" borderId="0" xfId="0" applyFont="1" applyAlignment="1">
      <alignment vertical="center" wrapText="1"/>
    </xf>
    <xf numFmtId="0" fontId="8" fillId="0" borderId="0" xfId="0" applyFont="1" applyBorder="1" applyAlignment="1">
      <alignment horizontal="left" vertical="center" wrapText="1"/>
    </xf>
    <xf numFmtId="0" fontId="7" fillId="0" borderId="0" xfId="0" applyFont="1" applyAlignment="1">
      <alignment horizontal="center" vertical="center" wrapText="1"/>
    </xf>
    <xf numFmtId="0" fontId="7" fillId="0" borderId="0" xfId="0" applyFont="1"/>
    <xf numFmtId="0" fontId="7" fillId="0" borderId="0" xfId="0" applyFont="1" applyAlignment="1">
      <alignment horizontal="left" vertical="center" wrapText="1"/>
    </xf>
    <xf numFmtId="2" fontId="7" fillId="0" borderId="0" xfId="0" applyNumberFormat="1" applyFont="1" applyBorder="1" applyAlignment="1">
      <alignment horizontal="left" vertical="center" wrapText="1"/>
    </xf>
    <xf numFmtId="168" fontId="7" fillId="0" borderId="0" xfId="0" applyNumberFormat="1" applyFont="1" applyAlignment="1">
      <alignment horizontal="left" vertical="center" wrapText="1"/>
    </xf>
    <xf numFmtId="2" fontId="9" fillId="0" borderId="0" xfId="0" applyNumberFormat="1"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168" fontId="7" fillId="0" borderId="0" xfId="0" applyNumberFormat="1" applyFont="1" applyAlignment="1">
      <alignment horizontal="center" vertical="center" wrapText="1"/>
    </xf>
    <xf numFmtId="0" fontId="7" fillId="0" borderId="0" xfId="0" applyFont="1" applyAlignment="1"/>
    <xf numFmtId="0" fontId="8" fillId="0" borderId="0" xfId="0" applyFont="1" applyAlignment="1">
      <alignment vertical="center" wrapText="1"/>
    </xf>
    <xf numFmtId="0" fontId="7" fillId="0" borderId="0" xfId="0" applyFont="1" applyAlignment="1">
      <alignment horizontal="left" vertical="center" wrapText="1"/>
    </xf>
    <xf numFmtId="0" fontId="10" fillId="0" borderId="0" xfId="0" applyFont="1" applyBorder="1" applyAlignment="1">
      <alignment horizontal="left" vertical="center" wrapText="1"/>
    </xf>
    <xf numFmtId="2" fontId="7" fillId="0" borderId="0" xfId="0" applyNumberFormat="1" applyFont="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center" wrapText="1"/>
    </xf>
    <xf numFmtId="171" fontId="7" fillId="0" borderId="0" xfId="0" applyNumberFormat="1" applyFont="1" applyBorder="1" applyAlignment="1">
      <alignment horizontal="center" vertical="center" wrapText="1"/>
    </xf>
    <xf numFmtId="1" fontId="7"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7" fillId="0" borderId="0" xfId="0" applyFont="1" applyAlignment="1">
      <alignment horizontal="left" vertical="justify" wrapText="1"/>
    </xf>
    <xf numFmtId="0" fontId="7" fillId="0" borderId="0" xfId="0" applyFont="1" applyBorder="1" applyAlignment="1">
      <alignment vertical="center" wrapText="1"/>
    </xf>
    <xf numFmtId="0" fontId="7" fillId="0" borderId="0" xfId="0" applyFont="1" applyBorder="1"/>
    <xf numFmtId="0" fontId="8" fillId="0" borderId="0" xfId="0" applyFont="1" applyBorder="1" applyAlignment="1">
      <alignment horizontal="right" vertical="center" wrapText="1"/>
    </xf>
    <xf numFmtId="2" fontId="8" fillId="0" borderId="0" xfId="0" applyNumberFormat="1" applyFont="1" applyBorder="1" applyAlignment="1">
      <alignment horizontal="left" vertical="center" wrapText="1"/>
    </xf>
    <xf numFmtId="0" fontId="8" fillId="0" borderId="0" xfId="0" applyFont="1" applyAlignment="1">
      <alignment horizontal="center" vertical="center"/>
    </xf>
    <xf numFmtId="170" fontId="7" fillId="0" borderId="0" xfId="0" applyNumberFormat="1" applyFont="1" applyBorder="1" applyAlignment="1">
      <alignment horizontal="center" vertical="center" wrapText="1"/>
    </xf>
    <xf numFmtId="0" fontId="7" fillId="0" borderId="0" xfId="0" applyFont="1" applyAlignment="1">
      <alignment horizontal="left" vertical="justify" wrapText="1"/>
    </xf>
    <xf numFmtId="0" fontId="7" fillId="0" borderId="0" xfId="0" applyFont="1" applyAlignment="1">
      <alignment vertical="justify" wrapText="1"/>
    </xf>
    <xf numFmtId="0" fontId="7" fillId="0" borderId="0" xfId="0" applyFont="1" applyAlignment="1">
      <alignment horizontal="center" vertical="center" wrapText="1"/>
    </xf>
    <xf numFmtId="168" fontId="7" fillId="0" borderId="0" xfId="0" applyNumberFormat="1"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13" fillId="0" borderId="0" xfId="0" applyFont="1" applyAlignment="1">
      <alignment horizontal="left" vertical="center" wrapText="1"/>
    </xf>
    <xf numFmtId="11" fontId="7" fillId="0" borderId="0" xfId="0" applyNumberFormat="1" applyFont="1" applyBorder="1" applyAlignment="1">
      <alignment horizontal="left" vertical="center" wrapText="1"/>
    </xf>
    <xf numFmtId="0" fontId="16" fillId="0" borderId="0" xfId="0" applyFont="1"/>
    <xf numFmtId="0" fontId="9" fillId="0" borderId="0" xfId="0" applyFont="1" applyBorder="1" applyAlignment="1">
      <alignment horizontal="left" vertical="center" wrapText="1"/>
    </xf>
    <xf numFmtId="168" fontId="9" fillId="0" borderId="0" xfId="0" applyNumberFormat="1" applyFont="1" applyBorder="1" applyAlignment="1">
      <alignment horizontal="left" vertical="center"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16" xfId="0" applyFont="1" applyBorder="1" applyAlignment="1">
      <alignment horizontal="center" vertical="center" wrapText="1"/>
    </xf>
    <xf numFmtId="2" fontId="10" fillId="0" borderId="37" xfId="0" applyNumberFormat="1" applyFont="1" applyBorder="1" applyAlignment="1">
      <alignment horizontal="center" vertical="center" wrapText="1"/>
    </xf>
    <xf numFmtId="1" fontId="10" fillId="0" borderId="16" xfId="0" applyNumberFormat="1" applyFont="1" applyBorder="1" applyAlignment="1">
      <alignment horizontal="center" vertical="center" wrapText="1"/>
    </xf>
    <xf numFmtId="2" fontId="10" fillId="0" borderId="16" xfId="0" applyNumberFormat="1" applyFont="1" applyBorder="1" applyAlignment="1">
      <alignment horizontal="center" vertical="center" wrapText="1"/>
    </xf>
    <xf numFmtId="0" fontId="10" fillId="0" borderId="16" xfId="0" applyFont="1" applyBorder="1" applyAlignment="1">
      <alignment horizontal="center" vertical="center" wrapText="1"/>
    </xf>
    <xf numFmtId="1" fontId="9" fillId="0" borderId="20" xfId="0" applyNumberFormat="1" applyFont="1" applyBorder="1" applyAlignment="1">
      <alignment horizontal="center" vertical="center" wrapText="1"/>
    </xf>
    <xf numFmtId="171" fontId="9" fillId="0" borderId="1"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2" fontId="9" fillId="0" borderId="1" xfId="0" applyNumberFormat="1" applyFont="1" applyBorder="1" applyAlignment="1">
      <alignment horizontal="center" vertical="center" wrapText="1"/>
    </xf>
    <xf numFmtId="0" fontId="10" fillId="0" borderId="0" xfId="0" applyFont="1" applyAlignment="1">
      <alignment horizontal="center" vertical="center" wrapText="1"/>
    </xf>
    <xf numFmtId="1" fontId="10" fillId="0" borderId="37" xfId="0" applyNumberFormat="1" applyFont="1" applyBorder="1" applyAlignment="1">
      <alignment horizontal="center" vertical="center" wrapText="1"/>
    </xf>
    <xf numFmtId="0" fontId="10" fillId="0" borderId="37" xfId="0" applyFont="1" applyBorder="1" applyAlignment="1">
      <alignment horizontal="center" vertical="center" wrapText="1"/>
    </xf>
    <xf numFmtId="2" fontId="10" fillId="0" borderId="14" xfId="0" applyNumberFormat="1" applyFont="1" applyBorder="1" applyAlignment="1">
      <alignment horizontal="center" vertical="center" wrapText="1"/>
    </xf>
    <xf numFmtId="169" fontId="9" fillId="2" borderId="1" xfId="0" applyNumberFormat="1" applyFont="1" applyFill="1" applyBorder="1" applyAlignment="1" applyProtection="1">
      <alignment horizontal="center" vertical="center" wrapText="1"/>
    </xf>
    <xf numFmtId="171" fontId="8" fillId="0" borderId="0" xfId="0" applyNumberFormat="1" applyFont="1" applyBorder="1" applyAlignment="1">
      <alignment horizontal="left" vertical="center" wrapText="1"/>
    </xf>
    <xf numFmtId="169" fontId="9" fillId="2" borderId="0" xfId="0" applyNumberFormat="1" applyFont="1" applyFill="1" applyBorder="1" applyAlignment="1" applyProtection="1">
      <alignment horizontal="center" vertical="center" wrapText="1"/>
    </xf>
    <xf numFmtId="166" fontId="9" fillId="2" borderId="0" xfId="0" applyNumberFormat="1" applyFont="1" applyFill="1" applyBorder="1" applyAlignment="1" applyProtection="1">
      <alignment horizontal="center" vertical="center"/>
    </xf>
    <xf numFmtId="164" fontId="9" fillId="2" borderId="0" xfId="0" applyNumberFormat="1" applyFont="1" applyFill="1" applyBorder="1" applyAlignment="1" applyProtection="1">
      <alignment horizontal="center" vertical="center"/>
    </xf>
    <xf numFmtId="0" fontId="12" fillId="0" borderId="39" xfId="0" applyFont="1" applyBorder="1" applyAlignment="1">
      <alignment horizontal="left" vertical="center" wrapText="1"/>
    </xf>
    <xf numFmtId="0" fontId="7" fillId="0" borderId="39" xfId="0" applyFont="1" applyBorder="1" applyAlignment="1">
      <alignment horizontal="center" vertical="center" wrapText="1"/>
    </xf>
    <xf numFmtId="0" fontId="13" fillId="0" borderId="0" xfId="0" applyFont="1" applyAlignment="1">
      <alignment horizontal="left" vertical="center" wrapText="1"/>
    </xf>
    <xf numFmtId="2" fontId="9" fillId="0" borderId="16" xfId="0" applyNumberFormat="1" applyFont="1" applyBorder="1" applyAlignment="1">
      <alignment horizontal="left" vertical="center" wrapText="1"/>
    </xf>
    <xf numFmtId="168" fontId="9" fillId="0" borderId="6" xfId="0" applyNumberFormat="1" applyFont="1" applyBorder="1" applyAlignment="1">
      <alignment horizontal="left" vertical="center" wrapText="1"/>
    </xf>
    <xf numFmtId="1" fontId="9" fillId="0" borderId="6" xfId="0" applyNumberFormat="1" applyFont="1" applyBorder="1" applyAlignment="1">
      <alignment horizontal="left" vertical="center" wrapText="1"/>
    </xf>
    <xf numFmtId="0" fontId="9" fillId="0" borderId="37" xfId="0" applyFont="1" applyBorder="1" applyAlignment="1">
      <alignment horizontal="left" vertical="center" wrapText="1"/>
    </xf>
    <xf numFmtId="0" fontId="9" fillId="0" borderId="34" xfId="0" applyFont="1" applyBorder="1" applyAlignment="1">
      <alignment horizontal="left" vertical="center" wrapText="1"/>
    </xf>
    <xf numFmtId="2" fontId="9" fillId="0" borderId="0" xfId="0" applyNumberFormat="1" applyFont="1"/>
    <xf numFmtId="171" fontId="9" fillId="0" borderId="18" xfId="0" applyNumberFormat="1" applyFont="1" applyBorder="1" applyAlignment="1">
      <alignment horizontal="center" vertical="center" wrapText="1"/>
    </xf>
    <xf numFmtId="171" fontId="9" fillId="0" borderId="20" xfId="0" applyNumberFormat="1" applyFont="1" applyBorder="1" applyAlignment="1">
      <alignment horizontal="center" vertical="center" wrapText="1"/>
    </xf>
    <xf numFmtId="171" fontId="9" fillId="0" borderId="35" xfId="0" applyNumberFormat="1" applyFont="1" applyBorder="1" applyAlignment="1">
      <alignment horizontal="center" vertical="center" wrapText="1"/>
    </xf>
    <xf numFmtId="171" fontId="9" fillId="0" borderId="6" xfId="0" applyNumberFormat="1" applyFont="1" applyBorder="1" applyAlignment="1">
      <alignment horizontal="center" vertical="center" wrapText="1"/>
    </xf>
    <xf numFmtId="2" fontId="9" fillId="2" borderId="1" xfId="0" applyNumberFormat="1" applyFont="1" applyFill="1" applyBorder="1" applyAlignment="1" applyProtection="1">
      <alignment horizontal="center" vertical="center"/>
    </xf>
    <xf numFmtId="171" fontId="9" fillId="2" borderId="1" xfId="0" applyNumberFormat="1" applyFont="1" applyFill="1" applyBorder="1" applyAlignment="1" applyProtection="1">
      <alignment horizontal="center" vertical="center"/>
    </xf>
    <xf numFmtId="164" fontId="9" fillId="0" borderId="20" xfId="0" applyNumberFormat="1" applyFont="1" applyBorder="1" applyAlignment="1">
      <alignment horizontal="center" vertical="center" wrapText="1"/>
    </xf>
    <xf numFmtId="169" fontId="9" fillId="0" borderId="20" xfId="0" applyNumberFormat="1" applyFont="1" applyBorder="1" applyAlignment="1">
      <alignment horizontal="center" vertical="center" wrapText="1"/>
    </xf>
    <xf numFmtId="169" fontId="9" fillId="0" borderId="1" xfId="0" applyNumberFormat="1" applyFont="1" applyBorder="1" applyAlignment="1">
      <alignment horizontal="center" vertical="center" wrapText="1"/>
    </xf>
    <xf numFmtId="166" fontId="9" fillId="0" borderId="20" xfId="0" applyNumberFormat="1" applyFont="1" applyBorder="1" applyAlignment="1">
      <alignment horizontal="center" vertical="center" wrapText="1"/>
    </xf>
    <xf numFmtId="1" fontId="9" fillId="2" borderId="1" xfId="0" applyNumberFormat="1" applyFont="1" applyFill="1" applyBorder="1" applyAlignment="1" applyProtection="1">
      <alignment horizontal="center" vertical="center"/>
    </xf>
    <xf numFmtId="2" fontId="9" fillId="0" borderId="0" xfId="0" applyNumberFormat="1" applyFont="1" applyBorder="1" applyAlignment="1">
      <alignment horizontal="left" vertical="center" wrapText="1"/>
    </xf>
    <xf numFmtId="1" fontId="9" fillId="0" borderId="0" xfId="0" applyNumberFormat="1" applyFont="1" applyBorder="1" applyAlignment="1">
      <alignment horizontal="left" vertical="center" wrapText="1"/>
    </xf>
    <xf numFmtId="2" fontId="27" fillId="15" borderId="0" xfId="3" applyFont="1" applyFill="1" applyBorder="1" applyAlignment="1">
      <alignment horizontal="center" vertical="center" wrapText="1"/>
      <protection locked="0"/>
    </xf>
    <xf numFmtId="166" fontId="9" fillId="2" borderId="20" xfId="0" applyNumberFormat="1" applyFont="1" applyFill="1" applyBorder="1" applyAlignment="1" applyProtection="1">
      <alignment horizontal="center" vertical="center" wrapText="1"/>
    </xf>
    <xf numFmtId="171" fontId="9" fillId="2" borderId="20" xfId="0" applyNumberFormat="1" applyFont="1" applyFill="1" applyBorder="1" applyAlignment="1" applyProtection="1">
      <alignment horizontal="center" vertical="center"/>
    </xf>
    <xf numFmtId="164" fontId="9" fillId="2" borderId="20" xfId="0" applyNumberFormat="1" applyFont="1" applyFill="1" applyBorder="1" applyAlignment="1" applyProtection="1">
      <alignment horizontal="center" vertical="center"/>
    </xf>
    <xf numFmtId="2" fontId="10" fillId="2" borderId="9" xfId="0" applyNumberFormat="1" applyFont="1" applyFill="1" applyBorder="1" applyAlignment="1" applyProtection="1">
      <alignment horizontal="center" vertical="center"/>
    </xf>
    <xf numFmtId="2" fontId="10" fillId="2" borderId="10" xfId="0" applyNumberFormat="1" applyFont="1" applyFill="1" applyBorder="1" applyAlignment="1" applyProtection="1">
      <alignment horizontal="center" vertical="center" wrapText="1"/>
    </xf>
    <xf numFmtId="2" fontId="13" fillId="2" borderId="11" xfId="0" applyNumberFormat="1" applyFont="1" applyFill="1" applyBorder="1" applyAlignment="1" applyProtection="1">
      <alignment horizontal="center" vertical="center" wrapText="1"/>
    </xf>
    <xf numFmtId="2" fontId="7" fillId="0" borderId="0" xfId="0" applyNumberFormat="1" applyFont="1" applyAlignment="1">
      <alignment horizontal="center" vertical="center" wrapText="1"/>
    </xf>
    <xf numFmtId="2" fontId="7" fillId="0" borderId="0" xfId="0" applyNumberFormat="1" applyFont="1" applyAlignment="1">
      <alignment horizontal="left" vertical="justify" wrapText="1"/>
    </xf>
    <xf numFmtId="2" fontId="19" fillId="0" borderId="0" xfId="0" applyNumberFormat="1" applyFont="1" applyProtection="1">
      <protection hidden="1"/>
    </xf>
    <xf numFmtId="0" fontId="19" fillId="2" borderId="0" xfId="0" applyFont="1" applyFill="1" applyBorder="1" applyAlignment="1" applyProtection="1">
      <protection hidden="1"/>
    </xf>
    <xf numFmtId="0" fontId="19" fillId="2" borderId="0" xfId="0" applyFont="1" applyFill="1" applyBorder="1" applyAlignment="1" applyProtection="1">
      <alignment horizontal="center" vertical="center" wrapText="1"/>
      <protection hidden="1"/>
    </xf>
    <xf numFmtId="2" fontId="19" fillId="2" borderId="0" xfId="0" applyNumberFormat="1" applyFont="1" applyFill="1" applyBorder="1" applyAlignment="1" applyProtection="1">
      <alignment vertical="center" wrapText="1"/>
      <protection hidden="1"/>
    </xf>
    <xf numFmtId="0" fontId="19" fillId="0" borderId="0" xfId="0" applyFont="1" applyProtection="1">
      <protection hidden="1"/>
    </xf>
    <xf numFmtId="2" fontId="19" fillId="2" borderId="0" xfId="0" applyNumberFormat="1" applyFont="1" applyFill="1" applyBorder="1" applyProtection="1">
      <protection hidden="1"/>
    </xf>
    <xf numFmtId="2" fontId="19" fillId="0" borderId="0" xfId="0" applyNumberFormat="1" applyFont="1" applyFill="1" applyBorder="1" applyProtection="1">
      <protection hidden="1"/>
    </xf>
    <xf numFmtId="2" fontId="19" fillId="2" borderId="0" xfId="0" applyNumberFormat="1" applyFont="1" applyFill="1" applyProtection="1">
      <protection hidden="1"/>
    </xf>
    <xf numFmtId="2" fontId="20" fillId="0" borderId="0" xfId="2" applyNumberFormat="1" applyFont="1" applyFill="1" applyBorder="1" applyAlignment="1" applyProtection="1">
      <alignment horizontal="center" vertical="center"/>
      <protection hidden="1"/>
    </xf>
    <xf numFmtId="2" fontId="21" fillId="0" borderId="0" xfId="2" applyNumberFormat="1" applyFont="1" applyFill="1" applyBorder="1" applyAlignment="1" applyProtection="1">
      <alignment horizontal="center" vertical="center"/>
      <protection hidden="1"/>
    </xf>
    <xf numFmtId="2" fontId="20" fillId="0" borderId="0" xfId="2" applyNumberFormat="1" applyFont="1" applyFill="1" applyBorder="1" applyAlignment="1" applyProtection="1">
      <alignment horizontal="center" vertical="center" wrapText="1"/>
      <protection hidden="1"/>
    </xf>
    <xf numFmtId="2" fontId="21" fillId="0" borderId="0" xfId="2" applyNumberFormat="1" applyFont="1" applyFill="1" applyBorder="1" applyAlignment="1" applyProtection="1">
      <alignment vertical="center"/>
      <protection hidden="1"/>
    </xf>
    <xf numFmtId="2" fontId="21" fillId="0" borderId="0" xfId="2" applyNumberFormat="1" applyFont="1" applyFill="1" applyBorder="1" applyAlignment="1" applyProtection="1">
      <alignment vertical="center" wrapText="1"/>
      <protection hidden="1"/>
    </xf>
    <xf numFmtId="2" fontId="19" fillId="2" borderId="0" xfId="0" applyNumberFormat="1" applyFont="1" applyFill="1" applyBorder="1" applyAlignment="1" applyProtection="1">
      <alignment vertical="center"/>
      <protection hidden="1"/>
    </xf>
    <xf numFmtId="2" fontId="21" fillId="0" borderId="0" xfId="2" applyNumberFormat="1" applyFont="1" applyFill="1" applyBorder="1" applyAlignment="1" applyProtection="1">
      <protection hidden="1"/>
    </xf>
    <xf numFmtId="2" fontId="19" fillId="0" borderId="0" xfId="0" applyNumberFormat="1" applyFont="1" applyAlignment="1" applyProtection="1">
      <alignment vertical="center"/>
      <protection hidden="1"/>
    </xf>
    <xf numFmtId="2" fontId="21" fillId="0" borderId="0" xfId="2" applyNumberFormat="1" applyFont="1" applyFill="1" applyBorder="1" applyAlignment="1" applyProtection="1">
      <alignment horizontal="center"/>
      <protection hidden="1"/>
    </xf>
    <xf numFmtId="2" fontId="21" fillId="0" borderId="0" xfId="2" applyNumberFormat="1" applyFont="1" applyFill="1" applyBorder="1" applyProtection="1">
      <protection hidden="1"/>
    </xf>
    <xf numFmtId="2" fontId="20" fillId="0" borderId="0" xfId="2" applyNumberFormat="1" applyFont="1" applyFill="1" applyBorder="1" applyAlignment="1" applyProtection="1">
      <protection hidden="1"/>
    </xf>
    <xf numFmtId="2" fontId="20" fillId="0" borderId="0" xfId="2" applyNumberFormat="1" applyFont="1" applyFill="1" applyBorder="1" applyAlignment="1" applyProtection="1">
      <alignment vertical="center"/>
      <protection hidden="1"/>
    </xf>
    <xf numFmtId="2" fontId="19" fillId="0" borderId="0" xfId="0" applyNumberFormat="1" applyFont="1" applyFill="1" applyBorder="1" applyAlignment="1" applyProtection="1">
      <alignment vertical="center"/>
      <protection hidden="1"/>
    </xf>
    <xf numFmtId="2" fontId="20" fillId="6" borderId="18" xfId="2" applyNumberFormat="1" applyFont="1" applyFill="1" applyBorder="1" applyAlignment="1" applyProtection="1">
      <protection hidden="1"/>
    </xf>
    <xf numFmtId="2" fontId="20" fillId="6" borderId="20" xfId="2" applyNumberFormat="1" applyFont="1" applyFill="1" applyBorder="1" applyAlignment="1" applyProtection="1">
      <protection hidden="1"/>
    </xf>
    <xf numFmtId="2" fontId="21" fillId="6" borderId="20" xfId="2" applyNumberFormat="1" applyFont="1" applyFill="1" applyBorder="1" applyAlignment="1" applyProtection="1">
      <alignment horizontal="center"/>
      <protection hidden="1"/>
    </xf>
    <xf numFmtId="2" fontId="19" fillId="6" borderId="3" xfId="0" applyNumberFormat="1" applyFont="1" applyFill="1" applyBorder="1" applyAlignment="1" applyProtection="1">
      <alignment vertical="center"/>
      <protection hidden="1"/>
    </xf>
    <xf numFmtId="2" fontId="19" fillId="6" borderId="1" xfId="0" applyNumberFormat="1" applyFont="1" applyFill="1" applyBorder="1" applyAlignment="1" applyProtection="1">
      <alignment vertical="center"/>
      <protection hidden="1"/>
    </xf>
    <xf numFmtId="2" fontId="20" fillId="6" borderId="3" xfId="2" applyNumberFormat="1" applyFont="1" applyFill="1" applyBorder="1" applyAlignment="1" applyProtection="1">
      <alignment vertical="center" wrapText="1"/>
      <protection hidden="1"/>
    </xf>
    <xf numFmtId="2" fontId="20" fillId="6" borderId="1" xfId="2" applyNumberFormat="1" applyFont="1" applyFill="1" applyBorder="1" applyAlignment="1" applyProtection="1">
      <alignment vertical="center" wrapText="1"/>
      <protection hidden="1"/>
    </xf>
    <xf numFmtId="2" fontId="20" fillId="6" borderId="27" xfId="2" applyNumberFormat="1" applyFont="1" applyFill="1" applyBorder="1" applyAlignment="1" applyProtection="1">
      <alignment horizontal="center"/>
      <protection hidden="1"/>
    </xf>
    <xf numFmtId="2" fontId="20" fillId="6" borderId="31" xfId="2" applyNumberFormat="1" applyFont="1" applyFill="1" applyBorder="1" applyAlignment="1" applyProtection="1">
      <alignment horizontal="center"/>
      <protection hidden="1"/>
    </xf>
    <xf numFmtId="2" fontId="19" fillId="6" borderId="20" xfId="0" applyNumberFormat="1" applyFont="1" applyFill="1" applyBorder="1" applyAlignment="1" applyProtection="1">
      <alignment vertical="center"/>
      <protection hidden="1"/>
    </xf>
    <xf numFmtId="2" fontId="19" fillId="6" borderId="27" xfId="0" applyNumberFormat="1" applyFont="1" applyFill="1" applyBorder="1" applyAlignment="1" applyProtection="1">
      <alignment vertical="center"/>
      <protection hidden="1"/>
    </xf>
    <xf numFmtId="178" fontId="20" fillId="0" borderId="0" xfId="2" applyNumberFormat="1" applyFont="1" applyFill="1" applyBorder="1" applyAlignment="1" applyProtection="1">
      <protection hidden="1"/>
    </xf>
    <xf numFmtId="2" fontId="19" fillId="6" borderId="1" xfId="0" applyNumberFormat="1" applyFont="1" applyFill="1" applyBorder="1" applyAlignment="1" applyProtection="1">
      <alignment horizontal="center" vertical="center"/>
      <protection hidden="1"/>
    </xf>
    <xf numFmtId="2" fontId="5" fillId="6" borderId="1" xfId="0" applyNumberFormat="1" applyFont="1" applyFill="1" applyBorder="1" applyAlignment="1" applyProtection="1">
      <alignment horizontal="center" vertical="center" wrapText="1"/>
      <protection hidden="1"/>
    </xf>
    <xf numFmtId="2" fontId="19" fillId="6" borderId="20" xfId="0" applyNumberFormat="1" applyFont="1" applyFill="1" applyBorder="1" applyAlignment="1" applyProtection="1">
      <alignment horizontal="center" vertical="center"/>
      <protection hidden="1"/>
    </xf>
    <xf numFmtId="2" fontId="21" fillId="0" borderId="0" xfId="2" applyNumberFormat="1" applyFont="1" applyFill="1" applyBorder="1" applyAlignment="1" applyProtection="1">
      <alignment horizontal="right" vertical="center"/>
      <protection hidden="1"/>
    </xf>
    <xf numFmtId="1" fontId="19" fillId="0" borderId="0" xfId="0" applyNumberFormat="1" applyFont="1" applyAlignment="1" applyProtection="1">
      <alignment horizontal="left" vertical="center"/>
      <protection hidden="1"/>
    </xf>
    <xf numFmtId="2" fontId="19" fillId="0" borderId="0" xfId="0" applyNumberFormat="1" applyFont="1" applyFill="1" applyAlignment="1" applyProtection="1">
      <alignment vertical="center"/>
      <protection hidden="1"/>
    </xf>
    <xf numFmtId="2" fontId="19" fillId="6" borderId="34" xfId="0" applyNumberFormat="1" applyFont="1" applyFill="1" applyBorder="1" applyAlignment="1" applyProtection="1">
      <alignment horizontal="center" vertical="center" wrapText="1"/>
      <protection hidden="1"/>
    </xf>
    <xf numFmtId="2" fontId="25" fillId="0" borderId="0" xfId="0" applyNumberFormat="1" applyFont="1" applyFill="1" applyBorder="1" applyAlignment="1" applyProtection="1">
      <alignment vertical="center" wrapText="1"/>
      <protection hidden="1"/>
    </xf>
    <xf numFmtId="2" fontId="25" fillId="6" borderId="20" xfId="0" applyNumberFormat="1" applyFont="1" applyFill="1" applyBorder="1" applyAlignment="1" applyProtection="1">
      <alignment horizontal="center" vertical="center"/>
      <protection hidden="1"/>
    </xf>
    <xf numFmtId="2" fontId="25" fillId="6" borderId="20" xfId="0" applyNumberFormat="1" applyFont="1" applyFill="1" applyBorder="1" applyAlignment="1" applyProtection="1">
      <alignment horizontal="center" vertical="center" wrapText="1"/>
      <protection hidden="1"/>
    </xf>
    <xf numFmtId="2" fontId="4" fillId="6" borderId="20" xfId="0" applyNumberFormat="1" applyFont="1" applyFill="1" applyBorder="1" applyAlignment="1" applyProtection="1">
      <alignment horizontal="center" vertical="center" wrapText="1"/>
      <protection hidden="1"/>
    </xf>
    <xf numFmtId="2" fontId="19" fillId="6" borderId="37" xfId="0" applyNumberFormat="1" applyFont="1" applyFill="1" applyBorder="1" applyAlignment="1" applyProtection="1">
      <alignment horizontal="center" vertical="center"/>
      <protection hidden="1"/>
    </xf>
    <xf numFmtId="1" fontId="19" fillId="9" borderId="37" xfId="0" applyNumberFormat="1" applyFont="1" applyFill="1" applyBorder="1" applyAlignment="1" applyProtection="1">
      <alignment horizontal="center" vertical="center"/>
      <protection hidden="1"/>
    </xf>
    <xf numFmtId="1" fontId="25" fillId="6" borderId="20" xfId="0" applyNumberFormat="1" applyFont="1" applyFill="1" applyBorder="1" applyAlignment="1" applyProtection="1">
      <alignment horizontal="center" vertical="center"/>
      <protection hidden="1"/>
    </xf>
    <xf numFmtId="2" fontId="25" fillId="6" borderId="1" xfId="0" applyNumberFormat="1" applyFont="1" applyFill="1" applyBorder="1" applyAlignment="1" applyProtection="1">
      <alignment horizontal="center" vertical="center"/>
      <protection hidden="1"/>
    </xf>
    <xf numFmtId="1" fontId="25" fillId="6" borderId="1" xfId="0" applyNumberFormat="1" applyFont="1" applyFill="1" applyBorder="1" applyAlignment="1" applyProtection="1">
      <alignment horizontal="center" vertical="center" wrapText="1"/>
      <protection hidden="1"/>
    </xf>
    <xf numFmtId="2" fontId="25" fillId="6" borderId="1" xfId="0" applyNumberFormat="1" applyFont="1" applyFill="1" applyBorder="1" applyAlignment="1" applyProtection="1">
      <alignment horizontal="center" vertical="center" wrapText="1"/>
      <protection hidden="1"/>
    </xf>
    <xf numFmtId="171" fontId="25" fillId="9" borderId="1" xfId="0" applyNumberFormat="1" applyFont="1" applyFill="1" applyBorder="1" applyAlignment="1" applyProtection="1">
      <alignment horizontal="center" vertical="center"/>
      <protection hidden="1"/>
    </xf>
    <xf numFmtId="2" fontId="25" fillId="6" borderId="1" xfId="0" applyNumberFormat="1" applyFont="1" applyFill="1" applyBorder="1" applyAlignment="1" applyProtection="1">
      <alignment horizontal="center" wrapText="1"/>
      <protection hidden="1"/>
    </xf>
    <xf numFmtId="2" fontId="25" fillId="9" borderId="1" xfId="0" applyNumberFormat="1" applyFont="1" applyFill="1" applyBorder="1" applyAlignment="1" applyProtection="1">
      <alignment horizontal="center" vertical="center"/>
      <protection hidden="1"/>
    </xf>
    <xf numFmtId="171" fontId="19" fillId="2" borderId="0" xfId="0" applyNumberFormat="1" applyFont="1" applyFill="1" applyBorder="1" applyProtection="1">
      <protection hidden="1"/>
    </xf>
    <xf numFmtId="2" fontId="19" fillId="0" borderId="0" xfId="0" applyNumberFormat="1" applyFont="1" applyFill="1" applyProtection="1">
      <protection hidden="1"/>
    </xf>
    <xf numFmtId="1" fontId="19" fillId="6" borderId="1" xfId="0" applyNumberFormat="1" applyFont="1" applyFill="1" applyBorder="1" applyAlignment="1" applyProtection="1">
      <alignment horizontal="center" vertical="center"/>
      <protection hidden="1"/>
    </xf>
    <xf numFmtId="1" fontId="19" fillId="6" borderId="20" xfId="0" applyNumberFormat="1" applyFont="1" applyFill="1" applyBorder="1" applyAlignment="1" applyProtection="1">
      <alignment horizontal="center" vertical="center"/>
      <protection hidden="1"/>
    </xf>
    <xf numFmtId="1" fontId="19" fillId="6" borderId="1" xfId="0" applyNumberFormat="1" applyFont="1" applyFill="1" applyBorder="1" applyAlignment="1" applyProtection="1">
      <alignment horizontal="center" vertical="center" wrapText="1"/>
      <protection hidden="1"/>
    </xf>
    <xf numFmtId="2" fontId="19" fillId="6" borderId="1" xfId="0" applyNumberFormat="1" applyFont="1" applyFill="1" applyBorder="1" applyAlignment="1" applyProtection="1">
      <alignment horizontal="center" vertical="center" wrapText="1"/>
      <protection hidden="1"/>
    </xf>
    <xf numFmtId="2" fontId="22" fillId="0" borderId="0" xfId="0" applyNumberFormat="1" applyFont="1" applyFill="1" applyBorder="1" applyAlignment="1" applyProtection="1">
      <alignment vertical="center"/>
      <protection hidden="1"/>
    </xf>
    <xf numFmtId="2" fontId="19" fillId="9" borderId="1" xfId="0" applyNumberFormat="1" applyFont="1" applyFill="1" applyBorder="1" applyAlignment="1" applyProtection="1">
      <alignment horizontal="center" vertical="center"/>
      <protection hidden="1"/>
    </xf>
    <xf numFmtId="169" fontId="19" fillId="9" borderId="1" xfId="0" applyNumberFormat="1" applyFont="1" applyFill="1" applyBorder="1" applyAlignment="1" applyProtection="1">
      <alignment horizontal="center" vertical="center"/>
      <protection hidden="1"/>
    </xf>
    <xf numFmtId="164" fontId="19" fillId="9" borderId="1" xfId="0" applyNumberFormat="1" applyFont="1" applyFill="1" applyBorder="1" applyAlignment="1" applyProtection="1">
      <alignment horizontal="center" vertical="center"/>
      <protection hidden="1"/>
    </xf>
    <xf numFmtId="2" fontId="19" fillId="0" borderId="0" xfId="0" applyNumberFormat="1" applyFont="1" applyBorder="1" applyProtection="1">
      <protection hidden="1"/>
    </xf>
    <xf numFmtId="2" fontId="19" fillId="6" borderId="20" xfId="0" applyNumberFormat="1" applyFont="1" applyFill="1" applyBorder="1" applyAlignment="1" applyProtection="1">
      <alignment horizontal="center" vertical="center" wrapText="1"/>
      <protection hidden="1"/>
    </xf>
    <xf numFmtId="2" fontId="19" fillId="6" borderId="20" xfId="0" applyNumberFormat="1" applyFont="1" applyFill="1" applyBorder="1" applyAlignment="1" applyProtection="1">
      <alignment horizontal="left" vertical="center"/>
      <protection hidden="1"/>
    </xf>
    <xf numFmtId="166" fontId="19" fillId="6" borderId="1" xfId="0" applyNumberFormat="1" applyFont="1" applyFill="1" applyBorder="1" applyAlignment="1" applyProtection="1">
      <alignment horizontal="center" vertical="center"/>
      <protection hidden="1"/>
    </xf>
    <xf numFmtId="166" fontId="19" fillId="9" borderId="1" xfId="0" applyNumberFormat="1" applyFont="1" applyFill="1" applyBorder="1" applyAlignment="1" applyProtection="1">
      <alignment horizontal="center" vertical="center"/>
      <protection hidden="1"/>
    </xf>
    <xf numFmtId="165" fontId="19" fillId="9" borderId="1" xfId="0" applyNumberFormat="1" applyFont="1" applyFill="1" applyBorder="1" applyAlignment="1" applyProtection="1">
      <alignment horizontal="center" vertical="center"/>
      <protection hidden="1"/>
    </xf>
    <xf numFmtId="169" fontId="19" fillId="6" borderId="1" xfId="0" applyNumberFormat="1" applyFont="1" applyFill="1" applyBorder="1" applyAlignment="1" applyProtection="1">
      <alignment horizontal="center" vertical="center"/>
      <protection hidden="1"/>
    </xf>
    <xf numFmtId="2" fontId="19" fillId="10" borderId="1" xfId="0" applyNumberFormat="1" applyFont="1" applyFill="1" applyBorder="1" applyAlignment="1" applyProtection="1">
      <alignment horizontal="center" vertical="center"/>
      <protection hidden="1"/>
    </xf>
    <xf numFmtId="2" fontId="19" fillId="0" borderId="20" xfId="0" applyNumberFormat="1" applyFont="1" applyBorder="1" applyProtection="1">
      <protection hidden="1"/>
    </xf>
    <xf numFmtId="2" fontId="19" fillId="0" borderId="0" xfId="0" applyNumberFormat="1" applyFont="1" applyFill="1" applyBorder="1" applyAlignment="1" applyProtection="1">
      <alignment horizontal="center" vertical="center"/>
      <protection hidden="1"/>
    </xf>
    <xf numFmtId="171" fontId="19" fillId="9" borderId="1" xfId="0" applyNumberFormat="1" applyFont="1" applyFill="1" applyBorder="1" applyAlignment="1" applyProtection="1">
      <alignment horizontal="center" vertical="center"/>
      <protection hidden="1"/>
    </xf>
    <xf numFmtId="171" fontId="19" fillId="0" borderId="0" xfId="0" applyNumberFormat="1" applyFont="1" applyProtection="1">
      <protection hidden="1"/>
    </xf>
    <xf numFmtId="169" fontId="19" fillId="0" borderId="0" xfId="0" applyNumberFormat="1" applyFont="1" applyFill="1" applyBorder="1" applyProtection="1">
      <protection hidden="1"/>
    </xf>
    <xf numFmtId="2" fontId="21" fillId="6" borderId="20" xfId="0" applyNumberFormat="1" applyFont="1" applyFill="1" applyBorder="1" applyAlignment="1" applyProtection="1">
      <alignment horizontal="center" vertical="center"/>
      <protection hidden="1"/>
    </xf>
    <xf numFmtId="2" fontId="26" fillId="3" borderId="9" xfId="0" applyNumberFormat="1" applyFont="1" applyFill="1" applyBorder="1" applyAlignment="1" applyProtection="1">
      <alignment horizontal="center" vertical="center"/>
      <protection hidden="1"/>
    </xf>
    <xf numFmtId="2" fontId="27" fillId="3" borderId="11" xfId="0" applyNumberFormat="1" applyFont="1" applyFill="1" applyBorder="1" applyAlignment="1" applyProtection="1">
      <alignment horizontal="center" vertical="center" wrapText="1"/>
      <protection hidden="1"/>
    </xf>
    <xf numFmtId="169" fontId="21" fillId="9" borderId="1" xfId="0" applyNumberFormat="1" applyFont="1" applyFill="1" applyBorder="1" applyAlignment="1" applyProtection="1">
      <alignment horizontal="center" vertical="center"/>
      <protection hidden="1"/>
    </xf>
    <xf numFmtId="2" fontId="21" fillId="9" borderId="20" xfId="0" applyNumberFormat="1" applyFont="1" applyFill="1" applyBorder="1" applyAlignment="1" applyProtection="1">
      <alignment horizontal="center"/>
      <protection hidden="1"/>
    </xf>
    <xf numFmtId="1" fontId="21" fillId="9" borderId="20" xfId="0" applyNumberFormat="1" applyFont="1" applyFill="1" applyBorder="1" applyAlignment="1" applyProtection="1">
      <alignment horizontal="center"/>
      <protection hidden="1"/>
    </xf>
    <xf numFmtId="2" fontId="21" fillId="9" borderId="1" xfId="0" applyNumberFormat="1" applyFont="1" applyFill="1" applyBorder="1" applyAlignment="1" applyProtection="1">
      <alignment horizontal="center"/>
      <protection hidden="1"/>
    </xf>
    <xf numFmtId="1" fontId="21" fillId="9" borderId="1" xfId="0" applyNumberFormat="1" applyFont="1" applyFill="1" applyBorder="1" applyAlignment="1" applyProtection="1">
      <alignment horizontal="center"/>
      <protection hidden="1"/>
    </xf>
    <xf numFmtId="166" fontId="20" fillId="9" borderId="33" xfId="0" applyNumberFormat="1" applyFont="1" applyFill="1" applyBorder="1" applyAlignment="1" applyProtection="1">
      <alignment horizontal="center" vertical="center"/>
      <protection hidden="1"/>
    </xf>
    <xf numFmtId="167" fontId="21" fillId="9" borderId="20" xfId="0" applyNumberFormat="1" applyFont="1" applyFill="1" applyBorder="1" applyAlignment="1" applyProtection="1">
      <alignment horizontal="center" vertical="center"/>
      <protection hidden="1"/>
    </xf>
    <xf numFmtId="167" fontId="21" fillId="9" borderId="1" xfId="0" applyNumberFormat="1" applyFont="1" applyFill="1" applyBorder="1" applyAlignment="1" applyProtection="1">
      <alignment horizontal="center" vertical="center"/>
      <protection hidden="1"/>
    </xf>
    <xf numFmtId="167" fontId="20" fillId="9" borderId="33" xfId="0" applyNumberFormat="1" applyFont="1" applyFill="1" applyBorder="1" applyAlignment="1" applyProtection="1">
      <alignment horizontal="center" vertical="center"/>
      <protection hidden="1"/>
    </xf>
    <xf numFmtId="2" fontId="21" fillId="6" borderId="2" xfId="0" applyNumberFormat="1" applyFont="1" applyFill="1" applyBorder="1" applyProtection="1">
      <protection hidden="1"/>
    </xf>
    <xf numFmtId="2" fontId="21" fillId="6" borderId="19" xfId="0" applyNumberFormat="1" applyFont="1" applyFill="1" applyBorder="1" applyAlignment="1" applyProtection="1">
      <alignment horizontal="center" vertical="center"/>
      <protection hidden="1"/>
    </xf>
    <xf numFmtId="2" fontId="19" fillId="6" borderId="19" xfId="0" applyNumberFormat="1" applyFont="1" applyFill="1" applyBorder="1" applyAlignment="1" applyProtection="1">
      <alignment horizontal="center" vertical="center"/>
      <protection hidden="1"/>
    </xf>
    <xf numFmtId="165" fontId="28" fillId="3" borderId="52" xfId="0" applyNumberFormat="1" applyFont="1" applyFill="1" applyBorder="1" applyAlignment="1" applyProtection="1">
      <alignment horizontal="center" vertical="center"/>
      <protection hidden="1"/>
    </xf>
    <xf numFmtId="165" fontId="28" fillId="3" borderId="53" xfId="0" applyNumberFormat="1" applyFont="1" applyFill="1" applyBorder="1" applyAlignment="1" applyProtection="1">
      <alignment horizontal="center" vertical="center"/>
      <protection hidden="1"/>
    </xf>
    <xf numFmtId="165" fontId="28" fillId="3" borderId="54" xfId="0" applyNumberFormat="1" applyFont="1" applyFill="1" applyBorder="1" applyAlignment="1" applyProtection="1">
      <alignment horizontal="center" vertical="center"/>
      <protection hidden="1"/>
    </xf>
    <xf numFmtId="2" fontId="25" fillId="0" borderId="0" xfId="0" applyNumberFormat="1" applyFont="1" applyFill="1" applyBorder="1" applyAlignment="1" applyProtection="1">
      <alignment horizontal="center" vertical="center" wrapText="1"/>
      <protection hidden="1"/>
    </xf>
    <xf numFmtId="2" fontId="25" fillId="0" borderId="25" xfId="0" applyNumberFormat="1" applyFont="1" applyFill="1" applyBorder="1" applyAlignment="1" applyProtection="1">
      <alignment vertical="center" wrapText="1"/>
      <protection hidden="1"/>
    </xf>
    <xf numFmtId="1" fontId="19" fillId="9" borderId="1" xfId="0" applyNumberFormat="1" applyFont="1" applyFill="1" applyBorder="1" applyAlignment="1" applyProtection="1">
      <alignment horizontal="center" vertical="center"/>
      <protection hidden="1"/>
    </xf>
    <xf numFmtId="1" fontId="19" fillId="9" borderId="3" xfId="0" applyNumberFormat="1" applyFont="1" applyFill="1" applyBorder="1" applyAlignment="1" applyProtection="1">
      <alignment horizontal="center" vertical="center"/>
      <protection hidden="1"/>
    </xf>
    <xf numFmtId="2" fontId="25" fillId="6" borderId="2" xfId="0" applyNumberFormat="1" applyFont="1" applyFill="1" applyBorder="1" applyAlignment="1" applyProtection="1">
      <alignment vertical="center" wrapText="1"/>
      <protection hidden="1"/>
    </xf>
    <xf numFmtId="2" fontId="19" fillId="6" borderId="19" xfId="0" applyNumberFormat="1" applyFont="1" applyFill="1" applyBorder="1" applyProtection="1">
      <protection hidden="1"/>
    </xf>
    <xf numFmtId="2" fontId="25" fillId="6" borderId="3" xfId="0" applyNumberFormat="1" applyFont="1" applyFill="1" applyBorder="1" applyAlignment="1" applyProtection="1">
      <alignment horizontal="left" vertical="center" wrapText="1"/>
      <protection hidden="1"/>
    </xf>
    <xf numFmtId="165" fontId="25" fillId="9" borderId="29" xfId="0" applyNumberFormat="1" applyFont="1" applyFill="1" applyBorder="1" applyAlignment="1" applyProtection="1">
      <alignment horizontal="center" vertical="center"/>
      <protection hidden="1"/>
    </xf>
    <xf numFmtId="165" fontId="25" fillId="9" borderId="33" xfId="0" applyNumberFormat="1" applyFont="1" applyFill="1" applyBorder="1" applyAlignment="1" applyProtection="1">
      <alignment horizontal="center" vertical="center"/>
      <protection hidden="1"/>
    </xf>
    <xf numFmtId="1" fontId="19" fillId="9" borderId="18" xfId="0" applyNumberFormat="1" applyFont="1" applyFill="1" applyBorder="1" applyAlignment="1" applyProtection="1">
      <alignment horizontal="center" vertical="center"/>
      <protection hidden="1"/>
    </xf>
    <xf numFmtId="1" fontId="19" fillId="9" borderId="20" xfId="0" applyNumberFormat="1" applyFont="1" applyFill="1" applyBorder="1" applyAlignment="1" applyProtection="1">
      <alignment horizontal="center" vertical="center"/>
      <protection hidden="1"/>
    </xf>
    <xf numFmtId="165" fontId="20" fillId="9" borderId="18" xfId="0" applyNumberFormat="1" applyFont="1" applyFill="1" applyBorder="1" applyAlignment="1" applyProtection="1">
      <alignment horizontal="center" vertical="center"/>
      <protection hidden="1"/>
    </xf>
    <xf numFmtId="165" fontId="20" fillId="9" borderId="20" xfId="0" applyNumberFormat="1" applyFont="1" applyFill="1" applyBorder="1" applyAlignment="1" applyProtection="1">
      <alignment horizontal="center" vertical="center"/>
      <protection hidden="1"/>
    </xf>
    <xf numFmtId="2" fontId="25" fillId="6" borderId="19" xfId="0" applyNumberFormat="1" applyFont="1" applyFill="1" applyBorder="1" applyAlignment="1" applyProtection="1">
      <alignment vertical="center" wrapText="1"/>
      <protection hidden="1"/>
    </xf>
    <xf numFmtId="2" fontId="19" fillId="6" borderId="3" xfId="0" applyNumberFormat="1" applyFont="1" applyFill="1" applyBorder="1" applyAlignment="1" applyProtection="1">
      <alignment horizontal="center" vertical="center"/>
      <protection hidden="1"/>
    </xf>
    <xf numFmtId="167" fontId="20" fillId="9" borderId="20" xfId="0" applyNumberFormat="1" applyFont="1" applyFill="1" applyBorder="1" applyAlignment="1" applyProtection="1">
      <alignment horizontal="center" vertical="center"/>
      <protection hidden="1"/>
    </xf>
    <xf numFmtId="10" fontId="20" fillId="9" borderId="3" xfId="1" applyNumberFormat="1" applyFont="1" applyFill="1" applyBorder="1" applyAlignment="1" applyProtection="1">
      <alignment horizontal="center" vertical="center"/>
      <protection hidden="1"/>
    </xf>
    <xf numFmtId="2" fontId="20" fillId="0" borderId="0" xfId="0" applyNumberFormat="1" applyFont="1" applyFill="1" applyBorder="1" applyAlignment="1" applyProtection="1">
      <alignment horizontal="center" vertical="center" wrapText="1"/>
      <protection hidden="1"/>
    </xf>
    <xf numFmtId="2" fontId="21" fillId="0" borderId="0" xfId="0" applyNumberFormat="1" applyFont="1" applyFill="1" applyBorder="1" applyAlignment="1" applyProtection="1">
      <alignment horizontal="center" vertical="center"/>
      <protection hidden="1"/>
    </xf>
    <xf numFmtId="2" fontId="26" fillId="3" borderId="0" xfId="0" applyNumberFormat="1" applyFont="1" applyFill="1" applyBorder="1" applyAlignment="1" applyProtection="1">
      <alignment vertical="center"/>
      <protection hidden="1"/>
    </xf>
    <xf numFmtId="1" fontId="20" fillId="10" borderId="1" xfId="0" applyNumberFormat="1" applyFont="1" applyFill="1" applyBorder="1" applyAlignment="1" applyProtection="1">
      <alignment horizontal="center" vertical="center" wrapText="1"/>
      <protection hidden="1"/>
    </xf>
    <xf numFmtId="2" fontId="21" fillId="0" borderId="0" xfId="0" applyNumberFormat="1" applyFont="1" applyFill="1" applyBorder="1" applyProtection="1">
      <protection hidden="1"/>
    </xf>
    <xf numFmtId="2" fontId="30" fillId="6" borderId="27" xfId="0" applyNumberFormat="1" applyFont="1" applyFill="1" applyBorder="1" applyAlignment="1" applyProtection="1">
      <alignment horizontal="center" vertical="center"/>
      <protection hidden="1"/>
    </xf>
    <xf numFmtId="2" fontId="30" fillId="6" borderId="31" xfId="0" applyNumberFormat="1" applyFont="1" applyFill="1" applyBorder="1" applyAlignment="1" applyProtection="1">
      <alignment horizontal="centerContinuous" vertical="center" wrapText="1"/>
      <protection hidden="1"/>
    </xf>
    <xf numFmtId="2" fontId="30" fillId="6" borderId="30" xfId="0" applyNumberFormat="1" applyFont="1" applyFill="1" applyBorder="1" applyAlignment="1" applyProtection="1">
      <alignment horizontal="centerContinuous" vertical="center" wrapText="1"/>
      <protection hidden="1"/>
    </xf>
    <xf numFmtId="2" fontId="19" fillId="6" borderId="20" xfId="0" applyNumberFormat="1" applyFont="1" applyFill="1" applyBorder="1" applyProtection="1">
      <protection hidden="1"/>
    </xf>
    <xf numFmtId="2" fontId="19" fillId="6" borderId="17" xfId="0" applyNumberFormat="1" applyFont="1" applyFill="1" applyBorder="1" applyAlignment="1" applyProtection="1">
      <alignment horizontal="centerContinuous"/>
      <protection hidden="1"/>
    </xf>
    <xf numFmtId="2" fontId="19" fillId="6" borderId="18" xfId="0" applyNumberFormat="1" applyFont="1" applyFill="1" applyBorder="1" applyAlignment="1" applyProtection="1">
      <alignment horizontal="centerContinuous"/>
      <protection hidden="1"/>
    </xf>
    <xf numFmtId="174" fontId="19" fillId="9" borderId="1" xfId="0" applyNumberFormat="1" applyFont="1" applyFill="1" applyBorder="1" applyAlignment="1" applyProtection="1">
      <alignment horizontal="center" vertical="center" wrapText="1"/>
      <protection hidden="1"/>
    </xf>
    <xf numFmtId="174" fontId="19" fillId="9" borderId="2" xfId="1" applyNumberFormat="1" applyFont="1" applyFill="1" applyBorder="1" applyAlignment="1" applyProtection="1">
      <alignment vertical="center" wrapText="1"/>
      <protection hidden="1"/>
    </xf>
    <xf numFmtId="174" fontId="19" fillId="9" borderId="3" xfId="1" applyNumberFormat="1" applyFont="1" applyFill="1" applyBorder="1" applyAlignment="1" applyProtection="1">
      <alignment vertical="center" wrapText="1"/>
      <protection hidden="1"/>
    </xf>
    <xf numFmtId="174" fontId="19" fillId="9" borderId="1" xfId="1" applyNumberFormat="1" applyFont="1" applyFill="1" applyBorder="1" applyAlignment="1" applyProtection="1">
      <alignment horizontal="center" vertical="center" wrapText="1"/>
      <protection hidden="1"/>
    </xf>
    <xf numFmtId="174" fontId="19" fillId="9" borderId="3" xfId="0" applyNumberFormat="1" applyFont="1" applyFill="1" applyBorder="1" applyAlignment="1" applyProtection="1">
      <alignment vertical="center" wrapText="1"/>
      <protection hidden="1"/>
    </xf>
    <xf numFmtId="174" fontId="22" fillId="9" borderId="3" xfId="0" applyNumberFormat="1" applyFont="1" applyFill="1" applyBorder="1" applyAlignment="1" applyProtection="1">
      <alignment vertical="center" wrapText="1"/>
      <protection hidden="1"/>
    </xf>
    <xf numFmtId="174" fontId="25" fillId="9" borderId="1" xfId="0" applyNumberFormat="1" applyFont="1" applyFill="1" applyBorder="1" applyProtection="1">
      <protection hidden="1"/>
    </xf>
    <xf numFmtId="173" fontId="19" fillId="2" borderId="0" xfId="0" applyNumberFormat="1" applyFont="1" applyFill="1" applyBorder="1" applyProtection="1">
      <protection hidden="1"/>
    </xf>
    <xf numFmtId="2" fontId="33" fillId="3" borderId="0" xfId="0" applyNumberFormat="1" applyFont="1" applyFill="1" applyBorder="1" applyAlignment="1" applyProtection="1">
      <alignment horizontal="left" vertical="center"/>
      <protection hidden="1"/>
    </xf>
    <xf numFmtId="2" fontId="26" fillId="3" borderId="0" xfId="0" applyNumberFormat="1" applyFont="1" applyFill="1" applyBorder="1" applyProtection="1">
      <protection hidden="1"/>
    </xf>
    <xf numFmtId="167" fontId="19" fillId="9" borderId="1" xfId="0" applyNumberFormat="1" applyFont="1" applyFill="1" applyBorder="1" applyAlignment="1" applyProtection="1">
      <alignment horizontal="center" vertical="center"/>
      <protection hidden="1"/>
    </xf>
    <xf numFmtId="2" fontId="33" fillId="3" borderId="0" xfId="0" applyNumberFormat="1" applyFont="1" applyFill="1" applyBorder="1" applyAlignment="1" applyProtection="1">
      <alignment horizontal="center" vertical="top"/>
      <protection hidden="1"/>
    </xf>
    <xf numFmtId="2" fontId="33" fillId="3" borderId="0" xfId="0" applyNumberFormat="1" applyFont="1" applyFill="1" applyBorder="1" applyAlignment="1" applyProtection="1">
      <alignment horizontal="center" vertical="center"/>
      <protection hidden="1"/>
    </xf>
    <xf numFmtId="2" fontId="33" fillId="3" borderId="0" xfId="0" applyNumberFormat="1" applyFont="1" applyFill="1" applyBorder="1" applyAlignment="1" applyProtection="1">
      <alignment horizontal="right" vertical="center"/>
      <protection hidden="1"/>
    </xf>
    <xf numFmtId="2" fontId="30" fillId="6" borderId="19" xfId="0" applyNumberFormat="1" applyFont="1" applyFill="1" applyBorder="1" applyAlignment="1" applyProtection="1">
      <alignment horizontal="center" vertical="center"/>
      <protection hidden="1"/>
    </xf>
    <xf numFmtId="174" fontId="19" fillId="9" borderId="1" xfId="0" applyNumberFormat="1" applyFont="1" applyFill="1" applyBorder="1" applyAlignment="1" applyProtection="1">
      <alignment horizontal="center" vertical="center"/>
      <protection hidden="1"/>
    </xf>
    <xf numFmtId="2" fontId="26" fillId="3" borderId="0" xfId="0" applyNumberFormat="1" applyFont="1" applyFill="1" applyBorder="1" applyAlignment="1" applyProtection="1">
      <alignment horizontal="center" vertical="center"/>
      <protection hidden="1"/>
    </xf>
    <xf numFmtId="2" fontId="33" fillId="3" borderId="0" xfId="0" applyNumberFormat="1" applyFont="1" applyFill="1" applyBorder="1" applyAlignment="1" applyProtection="1">
      <alignment horizontal="center" wrapText="1"/>
      <protection hidden="1"/>
    </xf>
    <xf numFmtId="1" fontId="37" fillId="9" borderId="1" xfId="0" applyNumberFormat="1" applyFont="1" applyFill="1" applyBorder="1" applyAlignment="1" applyProtection="1">
      <alignment horizontal="center" vertical="center"/>
      <protection hidden="1"/>
    </xf>
    <xf numFmtId="164" fontId="19" fillId="9" borderId="1" xfId="0" applyNumberFormat="1" applyFont="1" applyFill="1" applyBorder="1" applyAlignment="1" applyProtection="1">
      <alignment horizontal="center" vertical="center" wrapText="1"/>
      <protection hidden="1"/>
    </xf>
    <xf numFmtId="2" fontId="19" fillId="11" borderId="19" xfId="0" applyNumberFormat="1" applyFont="1" applyFill="1" applyBorder="1" applyAlignment="1" applyProtection="1">
      <alignment horizontal="center" vertical="center"/>
      <protection hidden="1"/>
    </xf>
    <xf numFmtId="172" fontId="19" fillId="9" borderId="1" xfId="0" applyNumberFormat="1" applyFont="1" applyFill="1" applyBorder="1" applyAlignment="1" applyProtection="1">
      <alignment horizontal="left" vertical="center"/>
      <protection hidden="1"/>
    </xf>
    <xf numFmtId="2" fontId="30" fillId="6" borderId="33" xfId="0" applyNumberFormat="1" applyFont="1" applyFill="1" applyBorder="1" applyAlignment="1" applyProtection="1">
      <alignment horizontal="left" vertical="center"/>
      <protection hidden="1"/>
    </xf>
    <xf numFmtId="2" fontId="30" fillId="6" borderId="1" xfId="0" applyNumberFormat="1" applyFont="1" applyFill="1" applyBorder="1" applyAlignment="1" applyProtection="1">
      <alignment horizontal="center" vertical="center" wrapText="1"/>
      <protection hidden="1"/>
    </xf>
    <xf numFmtId="2" fontId="39" fillId="6" borderId="1" xfId="0" applyNumberFormat="1" applyFont="1" applyFill="1" applyBorder="1" applyAlignment="1" applyProtection="1">
      <alignment horizontal="center" vertical="center" wrapText="1"/>
      <protection hidden="1"/>
    </xf>
    <xf numFmtId="2" fontId="19" fillId="0" borderId="1" xfId="0" applyNumberFormat="1" applyFont="1" applyFill="1" applyBorder="1" applyAlignment="1" applyProtection="1">
      <alignment horizontal="center" vertical="center"/>
      <protection hidden="1"/>
    </xf>
    <xf numFmtId="1" fontId="19" fillId="9" borderId="38" xfId="0" applyNumberFormat="1" applyFont="1" applyFill="1" applyBorder="1" applyAlignment="1" applyProtection="1">
      <alignment horizontal="center" vertical="center"/>
      <protection hidden="1"/>
    </xf>
    <xf numFmtId="164" fontId="19" fillId="9" borderId="38" xfId="0" applyNumberFormat="1" applyFont="1" applyFill="1" applyBorder="1" applyAlignment="1" applyProtection="1">
      <alignment horizontal="center" vertical="center"/>
      <protection hidden="1"/>
    </xf>
    <xf numFmtId="1" fontId="19" fillId="9" borderId="36" xfId="0" applyNumberFormat="1" applyFont="1" applyFill="1" applyBorder="1" applyAlignment="1" applyProtection="1">
      <alignment horizontal="center" vertical="center"/>
      <protection hidden="1"/>
    </xf>
    <xf numFmtId="164" fontId="19" fillId="9" borderId="36" xfId="0" applyNumberFormat="1" applyFont="1" applyFill="1" applyBorder="1" applyAlignment="1" applyProtection="1">
      <alignment horizontal="center" vertical="center"/>
      <protection hidden="1"/>
    </xf>
    <xf numFmtId="2" fontId="19" fillId="0" borderId="0" xfId="0" applyNumberFormat="1" applyFont="1" applyAlignment="1" applyProtection="1">
      <alignment horizontal="center"/>
      <protection hidden="1"/>
    </xf>
    <xf numFmtId="2" fontId="19" fillId="9" borderId="36" xfId="0" applyNumberFormat="1" applyFont="1" applyFill="1" applyBorder="1" applyAlignment="1" applyProtection="1">
      <alignment horizontal="center" vertical="center"/>
      <protection hidden="1"/>
    </xf>
    <xf numFmtId="2" fontId="19" fillId="2" borderId="0" xfId="0" applyNumberFormat="1" applyFont="1" applyFill="1" applyBorder="1" applyAlignment="1" applyProtection="1">
      <alignment horizontal="left" vertical="center"/>
      <protection hidden="1"/>
    </xf>
    <xf numFmtId="2" fontId="20" fillId="6" borderId="2" xfId="2" applyNumberFormat="1" applyFont="1" applyFill="1" applyBorder="1" applyAlignment="1" applyProtection="1">
      <alignment horizontal="center" vertical="center"/>
      <protection hidden="1"/>
    </xf>
    <xf numFmtId="2" fontId="20" fillId="6" borderId="3" xfId="2" applyNumberFormat="1" applyFont="1" applyFill="1" applyBorder="1" applyAlignment="1" applyProtection="1">
      <alignment horizontal="center" vertical="center"/>
      <protection hidden="1"/>
    </xf>
    <xf numFmtId="174" fontId="19" fillId="9" borderId="3" xfId="0" applyNumberFormat="1" applyFont="1" applyFill="1" applyBorder="1" applyAlignment="1" applyProtection="1">
      <alignment horizontal="center" vertical="center"/>
      <protection hidden="1"/>
    </xf>
    <xf numFmtId="0" fontId="3" fillId="6" borderId="1" xfId="2" applyFont="1" applyFill="1" applyBorder="1" applyAlignment="1" applyProtection="1">
      <alignment horizontal="center" vertical="center"/>
      <protection hidden="1"/>
    </xf>
    <xf numFmtId="11" fontId="19" fillId="2" borderId="0" xfId="0" applyNumberFormat="1" applyFont="1" applyFill="1" applyBorder="1" applyProtection="1">
      <protection hidden="1"/>
    </xf>
    <xf numFmtId="2" fontId="19" fillId="2" borderId="0" xfId="0" applyNumberFormat="1" applyFont="1" applyFill="1" applyBorder="1" applyAlignment="1" applyProtection="1">
      <alignment horizontal="center"/>
      <protection hidden="1"/>
    </xf>
    <xf numFmtId="2" fontId="19" fillId="0" borderId="30" xfId="0" applyNumberFormat="1" applyFont="1" applyBorder="1" applyProtection="1">
      <protection hidden="1"/>
    </xf>
    <xf numFmtId="2" fontId="19" fillId="2" borderId="25" xfId="0" applyNumberFormat="1" applyFont="1" applyFill="1" applyBorder="1" applyProtection="1">
      <protection hidden="1"/>
    </xf>
    <xf numFmtId="2" fontId="19" fillId="0" borderId="18" xfId="0" applyNumberFormat="1" applyFont="1" applyBorder="1" applyProtection="1">
      <protection hidden="1"/>
    </xf>
    <xf numFmtId="14" fontId="5" fillId="9" borderId="52" xfId="0" applyNumberFormat="1" applyFont="1" applyFill="1" applyBorder="1" applyAlignment="1" applyProtection="1">
      <alignment horizontal="center" vertical="center" wrapText="1"/>
      <protection hidden="1"/>
    </xf>
    <xf numFmtId="2" fontId="19" fillId="9" borderId="14" xfId="0" applyNumberFormat="1" applyFont="1" applyFill="1" applyBorder="1" applyAlignment="1" applyProtection="1">
      <alignment horizontal="centerContinuous" vertical="center" wrapText="1"/>
      <protection hidden="1"/>
    </xf>
    <xf numFmtId="2" fontId="19" fillId="9" borderId="16" xfId="0" applyNumberFormat="1" applyFont="1" applyFill="1" applyBorder="1" applyAlignment="1" applyProtection="1">
      <alignment horizontal="centerContinuous" vertical="center" wrapText="1"/>
      <protection hidden="1"/>
    </xf>
    <xf numFmtId="0" fontId="19" fillId="9" borderId="1" xfId="0" applyFont="1" applyFill="1" applyBorder="1" applyAlignment="1" applyProtection="1">
      <alignment horizontal="center" vertical="center"/>
      <protection hidden="1"/>
    </xf>
    <xf numFmtId="2" fontId="29" fillId="6" borderId="9" xfId="2" applyNumberFormat="1" applyFont="1" applyFill="1" applyBorder="1" applyAlignment="1" applyProtection="1">
      <alignment horizontal="center" vertical="center" wrapText="1"/>
      <protection hidden="1"/>
    </xf>
    <xf numFmtId="2" fontId="29" fillId="6" borderId="10" xfId="2" applyNumberFormat="1" applyFont="1" applyFill="1" applyBorder="1" applyAlignment="1" applyProtection="1">
      <alignment horizontal="center" vertical="center" wrapText="1"/>
      <protection hidden="1"/>
    </xf>
    <xf numFmtId="2" fontId="4" fillId="6" borderId="10" xfId="0" applyNumberFormat="1" applyFont="1" applyFill="1" applyBorder="1" applyAlignment="1" applyProtection="1">
      <alignment horizontal="center" vertical="center" wrapText="1"/>
      <protection hidden="1"/>
    </xf>
    <xf numFmtId="2" fontId="29" fillId="6" borderId="51" xfId="2" applyNumberFormat="1" applyFont="1" applyFill="1" applyBorder="1" applyAlignment="1" applyProtection="1">
      <alignment horizontal="center" vertical="center" wrapText="1"/>
      <protection hidden="1"/>
    </xf>
    <xf numFmtId="2" fontId="7" fillId="6" borderId="1" xfId="0" applyNumberFormat="1" applyFont="1" applyFill="1" applyBorder="1" applyAlignment="1" applyProtection="1">
      <alignment horizontal="center" vertical="center"/>
      <protection hidden="1"/>
    </xf>
    <xf numFmtId="2" fontId="30" fillId="6" borderId="2" xfId="0" applyNumberFormat="1" applyFont="1" applyFill="1" applyBorder="1" applyAlignment="1" applyProtection="1">
      <alignment vertical="center"/>
      <protection hidden="1"/>
    </xf>
    <xf numFmtId="2" fontId="30" fillId="6" borderId="3" xfId="0" applyNumberFormat="1" applyFont="1" applyFill="1" applyBorder="1" applyAlignment="1" applyProtection="1">
      <alignment vertical="center"/>
      <protection hidden="1"/>
    </xf>
    <xf numFmtId="2" fontId="25" fillId="6" borderId="3" xfId="0" applyNumberFormat="1" applyFont="1" applyFill="1" applyBorder="1" applyAlignment="1" applyProtection="1">
      <alignment horizontal="centerContinuous" vertical="center"/>
      <protection hidden="1"/>
    </xf>
    <xf numFmtId="2" fontId="25" fillId="6" borderId="3" xfId="0" applyNumberFormat="1" applyFont="1" applyFill="1" applyBorder="1" applyAlignment="1" applyProtection="1">
      <alignment horizontal="center" vertical="center"/>
      <protection hidden="1"/>
    </xf>
    <xf numFmtId="1" fontId="20" fillId="17" borderId="1" xfId="0" applyNumberFormat="1" applyFont="1" applyFill="1" applyBorder="1" applyAlignment="1" applyProtection="1">
      <alignment horizontal="center" vertical="center" wrapText="1"/>
      <protection hidden="1"/>
    </xf>
    <xf numFmtId="164" fontId="19" fillId="17" borderId="1" xfId="0" applyNumberFormat="1" applyFont="1" applyFill="1" applyBorder="1" applyAlignment="1" applyProtection="1">
      <alignment horizontal="center" vertical="center"/>
      <protection hidden="1"/>
    </xf>
    <xf numFmtId="2" fontId="19" fillId="17" borderId="1" xfId="0" applyNumberFormat="1" applyFont="1" applyFill="1" applyBorder="1" applyAlignment="1" applyProtection="1">
      <alignment horizontal="center" vertical="center"/>
      <protection hidden="1"/>
    </xf>
    <xf numFmtId="1" fontId="19" fillId="17" borderId="1" xfId="0" applyNumberFormat="1" applyFont="1" applyFill="1" applyBorder="1" applyAlignment="1" applyProtection="1">
      <alignment horizontal="center" vertical="center"/>
      <protection hidden="1"/>
    </xf>
    <xf numFmtId="174" fontId="19" fillId="17" borderId="1" xfId="0" applyNumberFormat="1" applyFont="1" applyFill="1" applyBorder="1" applyAlignment="1" applyProtection="1">
      <alignment horizontal="center" vertical="center"/>
      <protection hidden="1"/>
    </xf>
    <xf numFmtId="174" fontId="19" fillId="17" borderId="1" xfId="0" applyNumberFormat="1" applyFont="1" applyFill="1" applyBorder="1" applyAlignment="1" applyProtection="1">
      <alignment horizontal="centerContinuous" vertical="center" wrapText="1"/>
      <protection hidden="1"/>
    </xf>
    <xf numFmtId="2" fontId="19" fillId="9" borderId="17" xfId="0" applyNumberFormat="1" applyFont="1" applyFill="1" applyBorder="1" applyAlignment="1" applyProtection="1">
      <alignment horizontal="centerContinuous" vertical="center" wrapText="1"/>
      <protection hidden="1"/>
    </xf>
    <xf numFmtId="1" fontId="19" fillId="14" borderId="37" xfId="3" applyNumberFormat="1" applyFont="1" applyBorder="1" applyAlignment="1" applyProtection="1">
      <alignment horizontal="center" vertical="center"/>
      <protection locked="0"/>
    </xf>
    <xf numFmtId="1" fontId="19" fillId="14" borderId="16" xfId="3" applyNumberFormat="1" applyFont="1" applyBorder="1" applyAlignment="1" applyProtection="1">
      <alignment horizontal="center" vertical="center" wrapText="1"/>
      <protection locked="0"/>
    </xf>
    <xf numFmtId="1" fontId="25" fillId="14" borderId="37" xfId="3" applyNumberFormat="1" applyFont="1" applyBorder="1" applyAlignment="1" applyProtection="1">
      <alignment horizontal="center" vertical="center"/>
      <protection locked="0"/>
    </xf>
    <xf numFmtId="1" fontId="20" fillId="14" borderId="37" xfId="3" applyNumberFormat="1" applyFont="1" applyBorder="1" applyAlignment="1" applyProtection="1">
      <alignment horizontal="center" vertical="center"/>
      <protection locked="0"/>
    </xf>
    <xf numFmtId="1" fontId="21" fillId="14" borderId="37" xfId="3" applyNumberFormat="1" applyFont="1" applyBorder="1" applyAlignment="1" applyProtection="1">
      <alignment horizontal="center" vertical="center"/>
      <protection locked="0"/>
    </xf>
    <xf numFmtId="2" fontId="19" fillId="14" borderId="37" xfId="3" applyFont="1" applyBorder="1" applyAlignment="1" applyProtection="1">
      <alignment horizontal="center" vertical="center"/>
      <protection locked="0"/>
    </xf>
    <xf numFmtId="177" fontId="19" fillId="4" borderId="20" xfId="0" applyNumberFormat="1" applyFont="1" applyFill="1" applyBorder="1" applyAlignment="1" applyProtection="1">
      <alignment horizontal="center" vertical="center"/>
      <protection locked="0"/>
    </xf>
    <xf numFmtId="171" fontId="19" fillId="4" borderId="20" xfId="0" applyNumberFormat="1" applyFont="1" applyFill="1" applyBorder="1" applyAlignment="1" applyProtection="1">
      <alignment horizontal="center" vertical="center"/>
      <protection locked="0"/>
    </xf>
    <xf numFmtId="171" fontId="19" fillId="4" borderId="20" xfId="0" applyNumberFormat="1" applyFont="1" applyFill="1" applyBorder="1" applyAlignment="1" applyProtection="1">
      <alignment horizontal="center" vertical="center" wrapText="1"/>
      <protection locked="0"/>
    </xf>
    <xf numFmtId="171" fontId="19" fillId="7" borderId="1" xfId="0" applyNumberFormat="1" applyFont="1" applyFill="1" applyBorder="1" applyAlignment="1" applyProtection="1">
      <alignment horizontal="center" vertical="center"/>
      <protection locked="0"/>
    </xf>
    <xf numFmtId="2" fontId="19" fillId="0" borderId="0" xfId="0" applyNumberFormat="1" applyFont="1" applyProtection="1">
      <protection locked="0"/>
    </xf>
    <xf numFmtId="171" fontId="19" fillId="7" borderId="20" xfId="0" applyNumberFormat="1" applyFont="1" applyFill="1" applyBorder="1" applyAlignment="1" applyProtection="1">
      <alignment horizontal="center" vertical="center"/>
      <protection locked="0"/>
    </xf>
    <xf numFmtId="171" fontId="19" fillId="7" borderId="20" xfId="0" applyNumberFormat="1" applyFont="1" applyFill="1" applyBorder="1" applyAlignment="1" applyProtection="1">
      <alignment horizontal="center" vertical="center" wrapText="1"/>
      <protection locked="0"/>
    </xf>
    <xf numFmtId="168" fontId="0" fillId="0" borderId="0" xfId="0" applyNumberFormat="1" applyAlignment="1">
      <alignment horizontal="center" vertical="center"/>
    </xf>
    <xf numFmtId="0" fontId="7" fillId="0" borderId="0" xfId="0" applyFont="1" applyProtection="1"/>
    <xf numFmtId="0" fontId="7" fillId="0" borderId="0" xfId="0" applyFont="1" applyBorder="1" applyProtection="1"/>
    <xf numFmtId="0" fontId="7" fillId="0" borderId="0" xfId="0" applyFont="1" applyAlignment="1" applyProtection="1">
      <alignment horizontal="center" vertical="center"/>
    </xf>
    <xf numFmtId="0" fontId="5" fillId="0" borderId="4" xfId="0" applyNumberFormat="1" applyFont="1" applyBorder="1" applyAlignment="1" applyProtection="1"/>
    <xf numFmtId="0" fontId="5" fillId="0" borderId="5" xfId="0" applyNumberFormat="1" applyFont="1" applyBorder="1" applyAlignment="1" applyProtection="1"/>
    <xf numFmtId="0" fontId="5" fillId="0" borderId="42" xfId="0" applyNumberFormat="1" applyFont="1" applyBorder="1" applyAlignment="1" applyProtection="1"/>
    <xf numFmtId="0" fontId="7" fillId="0" borderId="0" xfId="0" applyFont="1" applyFill="1" applyBorder="1" applyProtection="1"/>
    <xf numFmtId="0" fontId="5" fillId="0" borderId="44"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168"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xf>
    <xf numFmtId="0" fontId="5" fillId="0" borderId="45" xfId="0" applyNumberFormat="1" applyFont="1" applyFill="1" applyBorder="1" applyAlignment="1" applyProtection="1">
      <alignment horizontal="center" vertical="center"/>
    </xf>
    <xf numFmtId="0" fontId="7" fillId="0" borderId="0" xfId="0" applyFont="1" applyFill="1" applyProtection="1"/>
    <xf numFmtId="0" fontId="7" fillId="0" borderId="7" xfId="0" applyNumberFormat="1" applyFont="1" applyFill="1" applyBorder="1" applyProtection="1"/>
    <xf numFmtId="0" fontId="7" fillId="0" borderId="8" xfId="0" applyNumberFormat="1" applyFont="1" applyFill="1" applyBorder="1" applyProtection="1"/>
    <xf numFmtId="0" fontId="7" fillId="0" borderId="12" xfId="0" applyNumberFormat="1" applyFont="1" applyFill="1" applyBorder="1" applyProtection="1"/>
    <xf numFmtId="0" fontId="5" fillId="0" borderId="45"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xf>
    <xf numFmtId="0" fontId="5" fillId="0" borderId="8" xfId="0" applyNumberFormat="1" applyFont="1" applyFill="1" applyBorder="1" applyAlignment="1" applyProtection="1">
      <alignment horizontal="center"/>
    </xf>
    <xf numFmtId="0" fontId="5" fillId="0" borderId="8"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xf>
    <xf numFmtId="0" fontId="7" fillId="0" borderId="14" xfId="0" applyFont="1" applyBorder="1" applyAlignment="1" applyProtection="1"/>
    <xf numFmtId="0" fontId="7" fillId="0" borderId="15" xfId="0" applyFont="1" applyBorder="1" applyAlignment="1" applyProtection="1"/>
    <xf numFmtId="0" fontId="7" fillId="0" borderId="10" xfId="0" applyFont="1" applyBorder="1" applyAlignment="1" applyProtection="1"/>
    <xf numFmtId="0" fontId="7" fillId="0" borderId="11" xfId="0" applyFont="1" applyBorder="1" applyAlignment="1" applyProtection="1">
      <alignment horizontal="center" vertical="center"/>
    </xf>
    <xf numFmtId="0" fontId="48" fillId="0" borderId="46" xfId="0" applyFont="1" applyFill="1" applyBorder="1" applyAlignment="1" applyProtection="1">
      <alignment horizontal="center" vertical="center" wrapText="1"/>
    </xf>
    <xf numFmtId="0" fontId="48" fillId="0" borderId="20" xfId="0" applyFont="1" applyFill="1" applyBorder="1" applyAlignment="1" applyProtection="1">
      <alignment horizontal="center" vertical="center"/>
    </xf>
    <xf numFmtId="168" fontId="48" fillId="0" borderId="20" xfId="0" applyNumberFormat="1" applyFont="1" applyFill="1" applyBorder="1" applyAlignment="1" applyProtection="1">
      <alignment horizontal="center" vertical="center"/>
    </xf>
    <xf numFmtId="164" fontId="48" fillId="0" borderId="20" xfId="0" applyNumberFormat="1" applyFont="1" applyFill="1" applyBorder="1" applyAlignment="1" applyProtection="1">
      <alignment horizontal="center" vertical="center"/>
    </xf>
    <xf numFmtId="166" fontId="48" fillId="0" borderId="20" xfId="0" applyNumberFormat="1" applyFont="1" applyFill="1" applyBorder="1" applyAlignment="1" applyProtection="1">
      <alignment horizontal="center" vertical="center"/>
    </xf>
    <xf numFmtId="169" fontId="48" fillId="0" borderId="62" xfId="0" applyNumberFormat="1" applyFont="1" applyFill="1" applyBorder="1" applyAlignment="1" applyProtection="1">
      <alignment horizontal="center" vertical="center"/>
    </xf>
    <xf numFmtId="0" fontId="48" fillId="0" borderId="47" xfId="0" applyFont="1" applyFill="1" applyBorder="1" applyAlignment="1" applyProtection="1">
      <alignment horizontal="center" vertical="center"/>
    </xf>
    <xf numFmtId="0" fontId="48" fillId="0" borderId="44" xfId="0" applyFont="1" applyFill="1" applyBorder="1" applyAlignment="1" applyProtection="1">
      <alignment horizontal="center" vertical="center" wrapText="1"/>
    </xf>
    <xf numFmtId="0" fontId="48" fillId="0" borderId="1" xfId="0" applyFont="1" applyFill="1" applyBorder="1" applyAlignment="1" applyProtection="1">
      <alignment horizontal="center" vertical="center"/>
    </xf>
    <xf numFmtId="168" fontId="48" fillId="0" borderId="1" xfId="0" applyNumberFormat="1" applyFont="1" applyFill="1" applyBorder="1" applyAlignment="1" applyProtection="1">
      <alignment horizontal="center" vertical="center"/>
    </xf>
    <xf numFmtId="165" fontId="48" fillId="0" borderId="1" xfId="0" applyNumberFormat="1" applyFont="1" applyFill="1" applyBorder="1" applyAlignment="1" applyProtection="1">
      <alignment horizontal="center" vertical="center"/>
    </xf>
    <xf numFmtId="2" fontId="48" fillId="0" borderId="1" xfId="0" applyNumberFormat="1" applyFont="1" applyFill="1" applyBorder="1" applyAlignment="1" applyProtection="1">
      <alignment horizontal="center" vertical="center"/>
    </xf>
    <xf numFmtId="0" fontId="48" fillId="0" borderId="2" xfId="0" applyFont="1" applyFill="1" applyBorder="1" applyAlignment="1" applyProtection="1">
      <alignment horizontal="center" vertical="center"/>
    </xf>
    <xf numFmtId="169" fontId="48" fillId="0" borderId="1" xfId="0" applyNumberFormat="1" applyFont="1" applyFill="1" applyBorder="1" applyAlignment="1" applyProtection="1">
      <alignment horizontal="center" vertical="center"/>
    </xf>
    <xf numFmtId="171" fontId="48" fillId="0" borderId="1" xfId="0" applyNumberFormat="1" applyFont="1" applyFill="1" applyBorder="1" applyAlignment="1" applyProtection="1">
      <alignment horizontal="center" vertical="center"/>
    </xf>
    <xf numFmtId="0" fontId="48" fillId="0" borderId="48" xfId="0" applyFont="1" applyFill="1" applyBorder="1" applyAlignment="1" applyProtection="1">
      <alignment horizontal="center" vertical="center" wrapText="1"/>
    </xf>
    <xf numFmtId="0" fontId="48" fillId="0" borderId="33" xfId="0" applyFont="1" applyFill="1" applyBorder="1" applyAlignment="1" applyProtection="1">
      <alignment horizontal="center" vertical="center"/>
    </xf>
    <xf numFmtId="168" fontId="48" fillId="0" borderId="33" xfId="0" applyNumberFormat="1" applyFont="1" applyFill="1" applyBorder="1" applyAlignment="1" applyProtection="1">
      <alignment horizontal="center" vertical="center"/>
    </xf>
    <xf numFmtId="169" fontId="48" fillId="0" borderId="33" xfId="0" applyNumberFormat="1" applyFont="1" applyFill="1" applyBorder="1" applyAlignment="1" applyProtection="1">
      <alignment horizontal="center" vertical="center"/>
    </xf>
    <xf numFmtId="0" fontId="48" fillId="0" borderId="26" xfId="0" applyFont="1" applyFill="1" applyBorder="1" applyAlignment="1" applyProtection="1">
      <alignment horizontal="center" vertical="center"/>
    </xf>
    <xf numFmtId="0" fontId="48" fillId="0" borderId="0" xfId="0" applyFont="1" applyFill="1" applyBorder="1" applyProtection="1"/>
    <xf numFmtId="0" fontId="48" fillId="0" borderId="63" xfId="0" applyFont="1" applyFill="1" applyBorder="1" applyAlignment="1" applyProtection="1">
      <alignment horizontal="center" vertical="center"/>
    </xf>
    <xf numFmtId="0" fontId="48" fillId="0" borderId="55" xfId="0" applyFont="1" applyFill="1" applyBorder="1" applyAlignment="1" applyProtection="1">
      <alignment horizontal="center" vertical="center"/>
    </xf>
    <xf numFmtId="169" fontId="48" fillId="0" borderId="59" xfId="0" applyNumberFormat="1" applyFont="1" applyFill="1" applyBorder="1" applyAlignment="1" applyProtection="1">
      <alignment horizontal="center" vertical="center"/>
    </xf>
    <xf numFmtId="0" fontId="48" fillId="0" borderId="64" xfId="0" applyFont="1" applyFill="1" applyBorder="1" applyAlignment="1" applyProtection="1">
      <alignment horizontal="center" vertical="center"/>
    </xf>
    <xf numFmtId="0" fontId="48" fillId="0" borderId="4" xfId="0" applyFont="1" applyFill="1" applyBorder="1" applyAlignment="1" applyProtection="1">
      <alignment horizontal="center" vertical="center" wrapText="1"/>
    </xf>
    <xf numFmtId="0" fontId="48" fillId="0" borderId="5" xfId="0" applyFont="1" applyFill="1" applyBorder="1" applyAlignment="1" applyProtection="1">
      <alignment horizontal="center" vertical="center"/>
    </xf>
    <xf numFmtId="168" fontId="48" fillId="0" borderId="5" xfId="0" applyNumberFormat="1" applyFont="1" applyFill="1" applyBorder="1" applyAlignment="1" applyProtection="1">
      <alignment horizontal="center" vertical="center"/>
    </xf>
    <xf numFmtId="166" fontId="48" fillId="0" borderId="5" xfId="0" applyNumberFormat="1" applyFont="1" applyFill="1" applyBorder="1" applyAlignment="1" applyProtection="1">
      <alignment horizontal="center" vertical="center"/>
    </xf>
    <xf numFmtId="164" fontId="48" fillId="0" borderId="5" xfId="0" applyNumberFormat="1" applyFont="1" applyFill="1" applyBorder="1" applyAlignment="1" applyProtection="1">
      <alignment horizontal="center" vertical="center"/>
    </xf>
    <xf numFmtId="169" fontId="48" fillId="0" borderId="5" xfId="0" applyNumberFormat="1" applyFont="1" applyFill="1" applyBorder="1" applyAlignment="1" applyProtection="1">
      <alignment horizontal="center" vertical="center"/>
    </xf>
    <xf numFmtId="0" fontId="48" fillId="0" borderId="42" xfId="0" applyFont="1" applyFill="1" applyBorder="1" applyAlignment="1" applyProtection="1">
      <alignment horizontal="center" vertical="center"/>
    </xf>
    <xf numFmtId="166" fontId="48" fillId="0" borderId="1" xfId="0" applyNumberFormat="1" applyFont="1" applyFill="1" applyBorder="1" applyAlignment="1" applyProtection="1">
      <alignment horizontal="center" vertical="center"/>
    </xf>
    <xf numFmtId="0" fontId="48" fillId="0" borderId="45" xfId="0" applyFont="1" applyFill="1" applyBorder="1" applyAlignment="1" applyProtection="1">
      <alignment horizontal="center" vertical="center"/>
    </xf>
    <xf numFmtId="164" fontId="48" fillId="0" borderId="1" xfId="0" applyNumberFormat="1" applyFont="1" applyFill="1" applyBorder="1" applyAlignment="1" applyProtection="1">
      <alignment horizontal="center" vertical="center"/>
    </xf>
    <xf numFmtId="0" fontId="48" fillId="0" borderId="1" xfId="4" applyFont="1" applyFill="1" applyBorder="1" applyProtection="1">
      <alignment horizontal="center" vertical="center"/>
    </xf>
    <xf numFmtId="0" fontId="48" fillId="0" borderId="7" xfId="0" applyFont="1" applyFill="1" applyBorder="1" applyAlignment="1" applyProtection="1">
      <alignment horizontal="center" vertical="center" wrapText="1"/>
    </xf>
    <xf numFmtId="0" fontId="48" fillId="0" borderId="8" xfId="0" applyFont="1" applyFill="1" applyBorder="1" applyAlignment="1" applyProtection="1">
      <alignment horizontal="center" vertical="center"/>
    </xf>
    <xf numFmtId="168" fontId="48" fillId="0" borderId="8" xfId="0" applyNumberFormat="1" applyFont="1" applyFill="1" applyBorder="1" applyAlignment="1" applyProtection="1">
      <alignment horizontal="center" vertical="center"/>
    </xf>
    <xf numFmtId="0" fontId="48" fillId="0" borderId="8" xfId="4" applyFont="1" applyFill="1" applyBorder="1" applyProtection="1">
      <alignment horizontal="center" vertical="center"/>
    </xf>
    <xf numFmtId="169" fontId="48" fillId="0" borderId="8" xfId="0" applyNumberFormat="1" applyFont="1" applyFill="1" applyBorder="1" applyAlignment="1" applyProtection="1">
      <alignment horizontal="center" vertical="center"/>
    </xf>
    <xf numFmtId="171" fontId="48" fillId="0" borderId="8" xfId="0" applyNumberFormat="1" applyFont="1" applyFill="1" applyBorder="1" applyAlignment="1" applyProtection="1">
      <alignment horizontal="center" vertical="center"/>
    </xf>
    <xf numFmtId="0" fontId="48" fillId="0" borderId="12" xfId="0" applyFont="1" applyFill="1" applyBorder="1" applyAlignment="1" applyProtection="1">
      <alignment horizontal="center" vertical="center"/>
    </xf>
    <xf numFmtId="0" fontId="48" fillId="0" borderId="20" xfId="4" applyFont="1" applyFill="1" applyBorder="1" applyProtection="1">
      <alignment horizontal="center" vertical="center"/>
    </xf>
    <xf numFmtId="165" fontId="48" fillId="0" borderId="20" xfId="0" applyNumberFormat="1" applyFont="1" applyFill="1" applyBorder="1" applyAlignment="1" applyProtection="1">
      <alignment horizontal="center" vertical="center"/>
    </xf>
    <xf numFmtId="169" fontId="48" fillId="0" borderId="17" xfId="0" applyNumberFormat="1" applyFont="1" applyFill="1" applyBorder="1" applyAlignment="1" applyProtection="1">
      <alignment horizontal="center" vertical="center"/>
    </xf>
    <xf numFmtId="0" fontId="5" fillId="0" borderId="0" xfId="0" applyFont="1" applyBorder="1" applyProtection="1"/>
    <xf numFmtId="0" fontId="5" fillId="0" borderId="0" xfId="0" applyFont="1" applyFill="1" applyBorder="1" applyProtection="1"/>
    <xf numFmtId="0" fontId="5" fillId="0" borderId="0" xfId="0" applyFont="1" applyBorder="1" applyAlignment="1" applyProtection="1">
      <alignment horizontal="center"/>
    </xf>
    <xf numFmtId="0" fontId="48" fillId="0" borderId="33" xfId="4" applyFont="1" applyFill="1" applyBorder="1" applyProtection="1">
      <alignment horizontal="center" vertical="center"/>
    </xf>
    <xf numFmtId="169" fontId="48" fillId="0" borderId="27" xfId="0" applyNumberFormat="1" applyFont="1" applyFill="1" applyBorder="1" applyAlignment="1" applyProtection="1">
      <alignment horizontal="center" vertical="center"/>
    </xf>
    <xf numFmtId="171" fontId="48" fillId="0" borderId="33" xfId="0" applyNumberFormat="1" applyFont="1" applyFill="1" applyBorder="1" applyAlignment="1" applyProtection="1">
      <alignment horizontal="center" vertical="center"/>
    </xf>
    <xf numFmtId="169" fontId="48" fillId="0" borderId="31" xfId="0" applyNumberFormat="1" applyFont="1" applyFill="1" applyBorder="1" applyAlignment="1" applyProtection="1">
      <alignment horizontal="center" vertical="center"/>
    </xf>
    <xf numFmtId="0" fontId="48" fillId="0" borderId="56" xfId="0" applyFont="1" applyFill="1" applyBorder="1" applyAlignment="1" applyProtection="1">
      <alignment horizontal="center" vertical="center"/>
    </xf>
    <xf numFmtId="0" fontId="27" fillId="0" borderId="37" xfId="0" applyFont="1" applyFill="1" applyBorder="1" applyAlignment="1" applyProtection="1">
      <alignment horizontal="center" vertical="center"/>
    </xf>
    <xf numFmtId="0" fontId="48" fillId="0" borderId="5" xfId="4" applyFont="1" applyFill="1" applyBorder="1" applyProtection="1">
      <alignment horizontal="center" vertical="center"/>
    </xf>
    <xf numFmtId="164" fontId="48" fillId="0" borderId="53" xfId="0" applyNumberFormat="1" applyFont="1" applyFill="1" applyBorder="1" applyAlignment="1" applyProtection="1">
      <alignment horizontal="center" vertical="center"/>
    </xf>
    <xf numFmtId="169" fontId="48" fillId="0" borderId="60" xfId="0" applyNumberFormat="1" applyFont="1" applyFill="1" applyBorder="1" applyAlignment="1" applyProtection="1">
      <alignment horizontal="center" vertical="center"/>
    </xf>
    <xf numFmtId="0" fontId="48" fillId="0" borderId="54" xfId="0" applyFont="1" applyFill="1" applyBorder="1" applyAlignment="1" applyProtection="1">
      <alignment horizontal="center" vertical="center"/>
    </xf>
    <xf numFmtId="0" fontId="48" fillId="0" borderId="17" xfId="0" applyFont="1" applyFill="1" applyBorder="1" applyAlignment="1" applyProtection="1">
      <alignment horizontal="center" vertical="center"/>
    </xf>
    <xf numFmtId="169" fontId="48" fillId="0" borderId="2" xfId="0" applyNumberFormat="1" applyFont="1" applyFill="1" applyBorder="1" applyAlignment="1" applyProtection="1">
      <alignment horizontal="center" vertical="center"/>
    </xf>
    <xf numFmtId="0" fontId="48" fillId="0" borderId="40" xfId="0" applyFont="1" applyFill="1" applyBorder="1" applyAlignment="1" applyProtection="1">
      <alignment horizontal="center" vertical="center"/>
    </xf>
    <xf numFmtId="0" fontId="46" fillId="0" borderId="0" xfId="0" applyFont="1" applyBorder="1" applyAlignment="1" applyProtection="1">
      <alignment vertical="center" textRotation="90"/>
    </xf>
    <xf numFmtId="175" fontId="5" fillId="0" borderId="44" xfId="0" applyNumberFormat="1"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175" fontId="5" fillId="0" borderId="5" xfId="0" applyNumberFormat="1"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5" fillId="0" borderId="44" xfId="0" applyFont="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7" fillId="0" borderId="45" xfId="0" applyFont="1" applyFill="1" applyBorder="1" applyAlignment="1" applyProtection="1">
      <alignment vertical="center"/>
    </xf>
    <xf numFmtId="0" fontId="5" fillId="0" borderId="0" xfId="0" applyFont="1" applyBorder="1" applyAlignment="1" applyProtection="1">
      <alignment horizontal="center" vertical="center"/>
    </xf>
    <xf numFmtId="171" fontId="5" fillId="0" borderId="1" xfId="0" applyNumberFormat="1" applyFont="1" applyFill="1" applyBorder="1" applyAlignment="1" applyProtection="1">
      <alignment horizontal="center" vertical="center"/>
    </xf>
    <xf numFmtId="0" fontId="5" fillId="0" borderId="45" xfId="0" applyFont="1" applyFill="1" applyBorder="1" applyAlignment="1" applyProtection="1">
      <alignment horizontal="center" vertical="center"/>
    </xf>
    <xf numFmtId="0" fontId="7" fillId="0" borderId="24" xfId="0" applyFont="1" applyBorder="1" applyAlignment="1" applyProtection="1"/>
    <xf numFmtId="0" fontId="7" fillId="0" borderId="0" xfId="0" applyFont="1" applyBorder="1" applyAlignment="1" applyProtection="1"/>
    <xf numFmtId="0" fontId="7" fillId="0" borderId="41" xfId="0" applyFont="1" applyBorder="1" applyAlignment="1" applyProtection="1"/>
    <xf numFmtId="0" fontId="27" fillId="0" borderId="4" xfId="0" applyFont="1" applyFill="1" applyBorder="1" applyAlignment="1" applyProtection="1">
      <alignment horizontal="center" vertical="center"/>
    </xf>
    <xf numFmtId="3" fontId="27" fillId="0" borderId="5" xfId="0" applyNumberFormat="1" applyFont="1" applyFill="1" applyBorder="1" applyAlignment="1" applyProtection="1">
      <alignment horizontal="center" vertical="center" wrapText="1"/>
    </xf>
    <xf numFmtId="0" fontId="27" fillId="0" borderId="5" xfId="0" applyFont="1" applyFill="1" applyBorder="1" applyAlignment="1" applyProtection="1">
      <alignment horizontal="center" vertical="center"/>
    </xf>
    <xf numFmtId="171" fontId="27" fillId="0" borderId="5" xfId="0" applyNumberFormat="1" applyFont="1" applyFill="1" applyBorder="1" applyAlignment="1" applyProtection="1">
      <alignment horizontal="center" vertical="center"/>
    </xf>
    <xf numFmtId="168" fontId="27" fillId="0" borderId="5" xfId="0" applyNumberFormat="1" applyFont="1" applyFill="1" applyBorder="1" applyAlignment="1" applyProtection="1">
      <alignment horizontal="center" vertical="center"/>
    </xf>
    <xf numFmtId="14" fontId="27" fillId="0" borderId="42" xfId="0" applyNumberFormat="1" applyFont="1" applyFill="1" applyBorder="1" applyAlignment="1" applyProtection="1">
      <alignment horizontal="center" vertical="center"/>
    </xf>
    <xf numFmtId="0" fontId="27" fillId="0" borderId="44" xfId="0" applyFont="1" applyFill="1" applyBorder="1" applyAlignment="1" applyProtection="1">
      <alignment horizontal="center" vertical="center"/>
    </xf>
    <xf numFmtId="3" fontId="27" fillId="0" borderId="1" xfId="0" applyNumberFormat="1"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xf>
    <xf numFmtId="168" fontId="27" fillId="0" borderId="1" xfId="0" applyNumberFormat="1" applyFont="1" applyFill="1" applyBorder="1" applyAlignment="1" applyProtection="1">
      <alignment horizontal="center" vertical="center"/>
    </xf>
    <xf numFmtId="14" fontId="27" fillId="0" borderId="45" xfId="0" applyNumberFormat="1" applyFont="1" applyFill="1" applyBorder="1" applyAlignment="1" applyProtection="1">
      <alignment horizontal="center" vertical="center"/>
    </xf>
    <xf numFmtId="0" fontId="27" fillId="0" borderId="7" xfId="0" applyFont="1" applyFill="1" applyBorder="1" applyAlignment="1" applyProtection="1">
      <alignment horizontal="center" vertical="center"/>
    </xf>
    <xf numFmtId="3" fontId="27" fillId="0" borderId="8" xfId="0" applyNumberFormat="1" applyFont="1" applyFill="1" applyBorder="1" applyAlignment="1" applyProtection="1">
      <alignment horizontal="center" vertical="center" wrapText="1"/>
    </xf>
    <xf numFmtId="0" fontId="27" fillId="0" borderId="8" xfId="0" applyFont="1" applyFill="1" applyBorder="1" applyAlignment="1" applyProtection="1">
      <alignment horizontal="center" vertical="center"/>
    </xf>
    <xf numFmtId="168" fontId="27" fillId="0" borderId="8" xfId="0" applyNumberFormat="1" applyFont="1" applyFill="1" applyBorder="1" applyAlignment="1" applyProtection="1">
      <alignment horizontal="center" vertical="center"/>
    </xf>
    <xf numFmtId="0" fontId="27" fillId="0" borderId="12" xfId="0" applyFont="1" applyFill="1" applyBorder="1" applyAlignment="1" applyProtection="1">
      <alignment horizontal="center" vertical="center"/>
    </xf>
    <xf numFmtId="0" fontId="27" fillId="0" borderId="57" xfId="0" applyFont="1" applyFill="1" applyBorder="1" applyAlignment="1" applyProtection="1">
      <alignment horizontal="center" vertical="center"/>
    </xf>
    <xf numFmtId="0" fontId="48" fillId="0" borderId="30" xfId="0" applyFont="1" applyFill="1" applyBorder="1" applyProtection="1"/>
    <xf numFmtId="0" fontId="27" fillId="0" borderId="27" xfId="0" applyFont="1" applyFill="1" applyBorder="1" applyAlignment="1" applyProtection="1">
      <alignment horizontal="center" vertical="center" wrapText="1"/>
    </xf>
    <xf numFmtId="0" fontId="27" fillId="0" borderId="27" xfId="0" applyFont="1" applyFill="1" applyBorder="1" applyAlignment="1" applyProtection="1">
      <alignment horizontal="center" vertical="center"/>
    </xf>
    <xf numFmtId="14" fontId="27" fillId="0" borderId="27" xfId="0" applyNumberFormat="1" applyFont="1" applyFill="1" applyBorder="1" applyAlignment="1" applyProtection="1">
      <alignment horizontal="center" vertical="center"/>
    </xf>
    <xf numFmtId="0" fontId="27" fillId="0" borderId="56" xfId="0" applyFont="1" applyFill="1" applyBorder="1" applyProtection="1"/>
    <xf numFmtId="0" fontId="27" fillId="0" borderId="42" xfId="0" applyFont="1" applyFill="1" applyBorder="1" applyAlignment="1" applyProtection="1">
      <alignment horizontal="center" vertical="center"/>
    </xf>
    <xf numFmtId="171" fontId="5" fillId="0" borderId="1" xfId="0" applyNumberFormat="1"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45" xfId="0" applyFont="1" applyBorder="1" applyAlignment="1" applyProtection="1">
      <alignment horizontal="center" vertical="center"/>
    </xf>
    <xf numFmtId="0" fontId="5" fillId="0" borderId="0" xfId="0" applyFont="1" applyFill="1" applyBorder="1" applyAlignment="1" applyProtection="1">
      <alignment vertical="center"/>
    </xf>
    <xf numFmtId="14" fontId="27" fillId="0" borderId="12" xfId="0" applyNumberFormat="1" applyFont="1" applyFill="1" applyBorder="1" applyAlignment="1" applyProtection="1">
      <alignment horizontal="center" vertical="center" wrapText="1"/>
    </xf>
    <xf numFmtId="0" fontId="48" fillId="0" borderId="57" xfId="0" applyFont="1" applyFill="1" applyBorder="1" applyProtection="1"/>
    <xf numFmtId="0" fontId="27" fillId="0" borderId="30" xfId="0" applyFont="1" applyFill="1" applyBorder="1" applyAlignment="1" applyProtection="1">
      <alignment horizontal="center" vertical="center"/>
    </xf>
    <xf numFmtId="176" fontId="5" fillId="0" borderId="44" xfId="0" applyNumberFormat="1" applyFont="1" applyBorder="1" applyAlignment="1" applyProtection="1">
      <alignment horizontal="center" vertical="center"/>
    </xf>
    <xf numFmtId="0" fontId="27" fillId="0" borderId="45" xfId="0" applyFont="1" applyFill="1" applyBorder="1" applyAlignment="1" applyProtection="1">
      <alignment horizontal="center" vertical="center"/>
    </xf>
    <xf numFmtId="176" fontId="5" fillId="0" borderId="7" xfId="0" applyNumberFormat="1"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2" xfId="0" applyFont="1" applyBorder="1" applyAlignment="1" applyProtection="1">
      <alignment horizontal="center" vertical="center"/>
    </xf>
    <xf numFmtId="49" fontId="27" fillId="0" borderId="55" xfId="0" applyNumberFormat="1" applyFont="1" applyFill="1" applyBorder="1" applyAlignment="1" applyProtection="1">
      <alignment horizontal="center" vertical="center" wrapText="1"/>
    </xf>
    <xf numFmtId="49" fontId="27" fillId="0" borderId="1" xfId="0" applyNumberFormat="1" applyFont="1" applyFill="1" applyBorder="1" applyAlignment="1" applyProtection="1">
      <alignment horizontal="center" vertical="center" wrapText="1"/>
    </xf>
    <xf numFmtId="49" fontId="27" fillId="0" borderId="53" xfId="0" applyNumberFormat="1"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center"/>
    </xf>
    <xf numFmtId="0" fontId="5" fillId="0" borderId="58" xfId="0" applyFont="1" applyFill="1" applyBorder="1" applyAlignment="1" applyProtection="1">
      <alignment vertical="center"/>
    </xf>
    <xf numFmtId="0" fontId="5" fillId="0" borderId="25" xfId="0" applyFont="1" applyFill="1" applyBorder="1" applyAlignment="1" applyProtection="1">
      <alignment vertical="center"/>
    </xf>
    <xf numFmtId="0" fontId="5" fillId="0" borderId="50" xfId="0" applyFont="1" applyFill="1" applyBorder="1" applyAlignment="1" applyProtection="1">
      <alignment vertical="center"/>
    </xf>
    <xf numFmtId="2" fontId="27" fillId="0" borderId="1" xfId="0" applyNumberFormat="1" applyFont="1" applyFill="1" applyBorder="1" applyAlignment="1" applyProtection="1">
      <alignment vertical="center"/>
    </xf>
    <xf numFmtId="0" fontId="27" fillId="0" borderId="1" xfId="0" applyFont="1" applyFill="1" applyBorder="1" applyAlignment="1" applyProtection="1">
      <alignment vertical="center"/>
    </xf>
    <xf numFmtId="0" fontId="27" fillId="0" borderId="45" xfId="0" applyFont="1" applyFill="1" applyBorder="1" applyAlignment="1" applyProtection="1">
      <alignment vertical="center"/>
    </xf>
    <xf numFmtId="2" fontId="27" fillId="0" borderId="40" xfId="0" applyNumberFormat="1" applyFont="1" applyFill="1" applyBorder="1" applyAlignment="1" applyProtection="1">
      <alignment vertical="center"/>
    </xf>
    <xf numFmtId="0" fontId="27" fillId="0" borderId="13" xfId="0" applyFont="1" applyFill="1" applyBorder="1" applyAlignment="1" applyProtection="1">
      <alignment vertical="center"/>
    </xf>
    <xf numFmtId="0" fontId="27" fillId="0" borderId="8" xfId="0" applyFont="1" applyFill="1" applyBorder="1" applyAlignment="1" applyProtection="1">
      <alignment vertical="center"/>
    </xf>
    <xf numFmtId="0" fontId="27" fillId="0" borderId="12" xfId="0" applyFont="1" applyFill="1" applyBorder="1" applyAlignment="1" applyProtection="1"/>
    <xf numFmtId="0" fontId="9" fillId="0" borderId="0" xfId="0" applyFont="1" applyProtection="1"/>
    <xf numFmtId="2" fontId="7" fillId="0" borderId="0" xfId="0" applyNumberFormat="1" applyFont="1" applyAlignment="1">
      <alignment horizontal="center" vertical="center"/>
    </xf>
    <xf numFmtId="2" fontId="19" fillId="9" borderId="18" xfId="0" applyNumberFormat="1" applyFont="1" applyFill="1" applyBorder="1" applyAlignment="1" applyProtection="1">
      <alignment horizontal="centerContinuous" vertical="center" wrapText="1"/>
      <protection hidden="1"/>
    </xf>
    <xf numFmtId="0" fontId="4" fillId="6" borderId="59" xfId="0" applyFont="1" applyFill="1" applyBorder="1" applyAlignment="1" applyProtection="1">
      <alignment horizontal="center" vertical="center"/>
    </xf>
    <xf numFmtId="0" fontId="4" fillId="6" borderId="32" xfId="0" applyFont="1" applyFill="1" applyBorder="1" applyAlignment="1" applyProtection="1">
      <alignment horizontal="center" vertical="center"/>
    </xf>
    <xf numFmtId="0" fontId="4" fillId="6" borderId="23" xfId="0" applyFont="1" applyFill="1" applyBorder="1" applyAlignment="1" applyProtection="1">
      <alignment horizontal="center" vertical="center"/>
    </xf>
    <xf numFmtId="0" fontId="4" fillId="6" borderId="60" xfId="0" applyFont="1" applyFill="1" applyBorder="1" applyAlignment="1" applyProtection="1">
      <alignment horizontal="center" vertical="center"/>
    </xf>
    <xf numFmtId="0" fontId="4" fillId="6" borderId="43" xfId="0" applyFont="1" applyFill="1" applyBorder="1" applyAlignment="1" applyProtection="1">
      <alignment horizontal="center" vertical="center"/>
    </xf>
    <xf numFmtId="0" fontId="4" fillId="6" borderId="6" xfId="0" applyFont="1" applyFill="1" applyBorder="1" applyAlignment="1" applyProtection="1">
      <alignment horizontal="center" vertical="center"/>
    </xf>
    <xf numFmtId="0" fontId="42" fillId="13" borderId="4" xfId="0" applyFont="1" applyFill="1" applyBorder="1" applyAlignment="1" applyProtection="1">
      <alignment horizontal="center" vertical="center"/>
    </xf>
    <xf numFmtId="0" fontId="42" fillId="13" borderId="5" xfId="0" applyFont="1" applyFill="1" applyBorder="1" applyAlignment="1" applyProtection="1">
      <alignment horizontal="center" vertical="center"/>
    </xf>
    <xf numFmtId="0" fontId="42" fillId="13" borderId="42" xfId="0" applyFont="1" applyFill="1" applyBorder="1" applyAlignment="1" applyProtection="1">
      <alignment horizontal="center" vertical="center"/>
    </xf>
    <xf numFmtId="0" fontId="42" fillId="13" borderId="7" xfId="0" applyFont="1" applyFill="1" applyBorder="1" applyAlignment="1" applyProtection="1">
      <alignment horizontal="center" vertical="center"/>
    </xf>
    <xf numFmtId="0" fontId="42" fillId="13" borderId="8" xfId="0" applyFont="1" applyFill="1" applyBorder="1" applyAlignment="1" applyProtection="1">
      <alignment horizontal="center" vertical="center"/>
    </xf>
    <xf numFmtId="0" fontId="42" fillId="13" borderId="12" xfId="0" applyFont="1" applyFill="1" applyBorder="1" applyAlignment="1" applyProtection="1">
      <alignment horizontal="center" vertical="center"/>
    </xf>
    <xf numFmtId="0" fontId="42" fillId="13" borderId="52" xfId="0" applyFont="1" applyFill="1" applyBorder="1" applyAlignment="1" applyProtection="1">
      <alignment horizontal="center" vertical="center"/>
    </xf>
    <xf numFmtId="0" fontId="42" fillId="13" borderId="27" xfId="0" applyFont="1" applyFill="1" applyBorder="1" applyAlignment="1" applyProtection="1">
      <alignment horizontal="center" vertical="center"/>
    </xf>
    <xf numFmtId="0" fontId="42" fillId="13" borderId="56" xfId="0" applyFont="1" applyFill="1" applyBorder="1" applyAlignment="1" applyProtection="1">
      <alignment horizontal="center" vertical="center"/>
    </xf>
    <xf numFmtId="0" fontId="4" fillId="6" borderId="4" xfId="0" applyFont="1" applyFill="1" applyBorder="1" applyAlignment="1" applyProtection="1">
      <alignment horizontal="center" vertical="center" wrapText="1"/>
    </xf>
    <xf numFmtId="0" fontId="4" fillId="6" borderId="7" xfId="0" applyFont="1" applyFill="1" applyBorder="1" applyAlignment="1" applyProtection="1">
      <alignment horizontal="center" vertical="center" wrapText="1"/>
    </xf>
    <xf numFmtId="0" fontId="4" fillId="6" borderId="5" xfId="0" applyFont="1" applyFill="1" applyBorder="1" applyAlignment="1" applyProtection="1">
      <alignment horizontal="center" vertical="center" wrapText="1"/>
    </xf>
    <xf numFmtId="0" fontId="4" fillId="6" borderId="8" xfId="0" applyFont="1" applyFill="1" applyBorder="1" applyAlignment="1" applyProtection="1">
      <alignment horizontal="center" vertical="center" wrapText="1"/>
    </xf>
    <xf numFmtId="0" fontId="5" fillId="6" borderId="4" xfId="0" applyFont="1" applyFill="1" applyBorder="1" applyAlignment="1" applyProtection="1">
      <alignment horizontal="center" vertical="center"/>
    </xf>
    <xf numFmtId="0" fontId="5" fillId="6" borderId="7" xfId="0" applyFont="1" applyFill="1" applyBorder="1" applyAlignment="1" applyProtection="1">
      <alignment horizontal="center" vertical="center"/>
    </xf>
    <xf numFmtId="0" fontId="48" fillId="0" borderId="5" xfId="0" applyFont="1" applyFill="1" applyBorder="1" applyAlignment="1" applyProtection="1">
      <alignment horizontal="center" vertical="center"/>
    </xf>
    <xf numFmtId="0" fontId="48" fillId="0" borderId="1" xfId="0" applyFont="1" applyFill="1" applyBorder="1" applyAlignment="1" applyProtection="1">
      <alignment horizontal="center" vertical="center"/>
    </xf>
    <xf numFmtId="0" fontId="48" fillId="0" borderId="8" xfId="0" applyFont="1" applyFill="1" applyBorder="1" applyAlignment="1" applyProtection="1">
      <alignment horizontal="center" vertical="center"/>
    </xf>
    <xf numFmtId="0" fontId="45" fillId="13" borderId="22" xfId="0" applyFont="1" applyFill="1" applyBorder="1" applyAlignment="1" applyProtection="1">
      <alignment horizontal="center" vertical="center"/>
    </xf>
    <xf numFmtId="0" fontId="45" fillId="13" borderId="32" xfId="0" applyFont="1" applyFill="1" applyBorder="1" applyAlignment="1" applyProtection="1">
      <alignment horizontal="center" vertical="center"/>
    </xf>
    <xf numFmtId="0" fontId="45" fillId="13" borderId="23" xfId="0" applyFont="1" applyFill="1" applyBorder="1" applyAlignment="1" applyProtection="1">
      <alignment horizontal="center" vertical="center"/>
    </xf>
    <xf numFmtId="0" fontId="45" fillId="13" borderId="21" xfId="0" applyFont="1" applyFill="1" applyBorder="1" applyAlignment="1" applyProtection="1">
      <alignment horizontal="center" vertical="center"/>
    </xf>
    <xf numFmtId="0" fontId="45" fillId="13" borderId="43" xfId="0" applyFont="1" applyFill="1" applyBorder="1" applyAlignment="1" applyProtection="1">
      <alignment horizontal="center" vertical="center"/>
    </xf>
    <xf numFmtId="0" fontId="45" fillId="13" borderId="6" xfId="0" applyFont="1" applyFill="1" applyBorder="1" applyAlignment="1" applyProtection="1">
      <alignment horizontal="center" vertical="center"/>
    </xf>
    <xf numFmtId="0" fontId="8" fillId="6" borderId="5" xfId="0" applyFont="1" applyFill="1" applyBorder="1" applyAlignment="1" applyProtection="1">
      <alignment horizontal="center" vertical="center"/>
    </xf>
    <xf numFmtId="0" fontId="8" fillId="6" borderId="33" xfId="0" applyFont="1" applyFill="1" applyBorder="1" applyAlignment="1" applyProtection="1">
      <alignment horizontal="center" vertical="center"/>
    </xf>
    <xf numFmtId="0" fontId="45" fillId="13" borderId="14" xfId="0" applyFont="1" applyFill="1" applyBorder="1" applyAlignment="1" applyProtection="1">
      <alignment horizontal="center" vertical="center"/>
    </xf>
    <xf numFmtId="0" fontId="45" fillId="13" borderId="15" xfId="0" applyFont="1" applyFill="1" applyBorder="1" applyAlignment="1" applyProtection="1">
      <alignment horizontal="center" vertical="center"/>
    </xf>
    <xf numFmtId="0" fontId="8" fillId="6" borderId="5" xfId="0" applyFont="1" applyFill="1" applyBorder="1" applyAlignment="1" applyProtection="1">
      <alignment horizontal="center" vertical="center" wrapText="1"/>
    </xf>
    <xf numFmtId="0" fontId="8" fillId="6" borderId="33" xfId="0" applyFont="1" applyFill="1" applyBorder="1" applyAlignment="1" applyProtection="1">
      <alignment horizontal="center" vertical="center" wrapText="1"/>
    </xf>
    <xf numFmtId="0" fontId="8" fillId="6" borderId="55" xfId="0" applyFont="1" applyFill="1" applyBorder="1" applyAlignment="1" applyProtection="1">
      <alignment horizontal="center" vertical="center" wrapText="1"/>
    </xf>
    <xf numFmtId="0" fontId="8" fillId="6" borderId="27" xfId="0" applyFont="1" applyFill="1" applyBorder="1" applyAlignment="1" applyProtection="1">
      <alignment horizontal="center" vertical="center" wrapText="1"/>
    </xf>
    <xf numFmtId="0" fontId="42" fillId="13" borderId="4" xfId="0" applyFont="1" applyFill="1" applyBorder="1" applyAlignment="1" applyProtection="1">
      <alignment horizontal="center" vertical="center" wrapText="1"/>
    </xf>
    <xf numFmtId="0" fontId="42" fillId="13" borderId="5" xfId="0" applyFont="1" applyFill="1" applyBorder="1" applyAlignment="1" applyProtection="1">
      <alignment horizontal="center" vertical="center" wrapText="1"/>
    </xf>
    <xf numFmtId="0" fontId="42" fillId="13" borderId="42" xfId="0" applyFont="1" applyFill="1" applyBorder="1" applyAlignment="1" applyProtection="1">
      <alignment horizontal="center" vertical="center" wrapText="1"/>
    </xf>
    <xf numFmtId="0" fontId="42" fillId="13" borderId="48" xfId="0" applyFont="1" applyFill="1" applyBorder="1" applyAlignment="1" applyProtection="1">
      <alignment horizontal="center" vertical="center" wrapText="1"/>
    </xf>
    <xf numFmtId="0" fontId="42" fillId="13" borderId="33" xfId="0" applyFont="1" applyFill="1" applyBorder="1" applyAlignment="1" applyProtection="1">
      <alignment horizontal="center" vertical="center" wrapText="1"/>
    </xf>
    <xf numFmtId="0" fontId="42" fillId="13" borderId="49" xfId="0" applyFont="1" applyFill="1" applyBorder="1" applyAlignment="1" applyProtection="1">
      <alignment horizontal="center" vertical="center" wrapText="1"/>
    </xf>
    <xf numFmtId="49" fontId="8" fillId="6" borderId="4" xfId="0" applyNumberFormat="1" applyFont="1" applyFill="1" applyBorder="1" applyAlignment="1" applyProtection="1">
      <alignment horizontal="center" vertical="center"/>
    </xf>
    <xf numFmtId="49" fontId="8" fillId="6" borderId="7" xfId="0" applyNumberFormat="1" applyFont="1" applyFill="1" applyBorder="1" applyAlignment="1" applyProtection="1">
      <alignment horizontal="center" vertical="center"/>
    </xf>
    <xf numFmtId="49" fontId="8" fillId="6" borderId="5" xfId="0" applyNumberFormat="1" applyFont="1" applyFill="1" applyBorder="1" applyAlignment="1" applyProtection="1">
      <alignment horizontal="center" vertical="center" wrapText="1"/>
    </xf>
    <xf numFmtId="49" fontId="8" fillId="6" borderId="8" xfId="0" applyNumberFormat="1" applyFont="1" applyFill="1" applyBorder="1" applyAlignment="1" applyProtection="1">
      <alignment horizontal="center" vertical="center" wrapText="1"/>
    </xf>
    <xf numFmtId="49" fontId="20" fillId="6" borderId="55" xfId="2" applyNumberFormat="1" applyFont="1" applyFill="1" applyBorder="1" applyAlignment="1" applyProtection="1">
      <alignment horizontal="center" vertical="center"/>
    </xf>
    <xf numFmtId="49" fontId="20" fillId="6" borderId="53" xfId="2" applyNumberFormat="1" applyFont="1" applyFill="1" applyBorder="1" applyAlignment="1" applyProtection="1">
      <alignment horizontal="center" vertical="center"/>
    </xf>
    <xf numFmtId="49" fontId="4" fillId="6" borderId="5" xfId="0" applyNumberFormat="1" applyFont="1" applyFill="1" applyBorder="1" applyAlignment="1" applyProtection="1">
      <alignment horizontal="center" vertical="center" wrapText="1"/>
    </xf>
    <xf numFmtId="49" fontId="4" fillId="6" borderId="8" xfId="0" applyNumberFormat="1" applyFont="1" applyFill="1" applyBorder="1" applyAlignment="1" applyProtection="1">
      <alignment horizontal="center" vertical="center" wrapText="1"/>
    </xf>
    <xf numFmtId="49" fontId="43" fillId="6" borderId="5" xfId="2" applyNumberFormat="1" applyFont="1" applyFill="1" applyBorder="1" applyAlignment="1" applyProtection="1">
      <alignment horizontal="center" vertical="center" wrapText="1"/>
    </xf>
    <xf numFmtId="49" fontId="43" fillId="6" borderId="8" xfId="2" applyNumberFormat="1" applyFont="1" applyFill="1" applyBorder="1" applyAlignment="1" applyProtection="1">
      <alignment horizontal="center" vertical="center" wrapText="1"/>
    </xf>
    <xf numFmtId="49" fontId="8" fillId="6" borderId="42" xfId="0" applyNumberFormat="1" applyFont="1" applyFill="1" applyBorder="1" applyAlignment="1" applyProtection="1">
      <alignment horizontal="center" vertical="center" wrapText="1"/>
    </xf>
    <xf numFmtId="49" fontId="8" fillId="6" borderId="12" xfId="0" applyNumberFormat="1" applyFont="1" applyFill="1" applyBorder="1" applyAlignment="1" applyProtection="1">
      <alignment horizontal="center" vertical="center" wrapText="1"/>
    </xf>
    <xf numFmtId="0" fontId="42" fillId="13" borderId="22" xfId="0" applyFont="1" applyFill="1" applyBorder="1" applyAlignment="1" applyProtection="1">
      <alignment horizontal="center" vertical="center" wrapText="1"/>
    </xf>
    <xf numFmtId="0" fontId="42" fillId="13" borderId="32" xfId="0" applyFont="1" applyFill="1" applyBorder="1" applyAlignment="1" applyProtection="1">
      <alignment horizontal="center" vertical="center" wrapText="1"/>
    </xf>
    <xf numFmtId="0" fontId="42" fillId="13" borderId="23" xfId="0" applyFont="1" applyFill="1" applyBorder="1" applyAlignment="1" applyProtection="1">
      <alignment horizontal="center" vertical="center" wrapText="1"/>
    </xf>
    <xf numFmtId="0" fontId="42" fillId="13" borderId="21" xfId="0" applyFont="1" applyFill="1" applyBorder="1" applyAlignment="1" applyProtection="1">
      <alignment horizontal="center" vertical="center" wrapText="1"/>
    </xf>
    <xf numFmtId="0" fontId="42" fillId="13" borderId="43" xfId="0" applyFont="1" applyFill="1" applyBorder="1" applyAlignment="1" applyProtection="1">
      <alignment horizontal="center" vertical="center" wrapText="1"/>
    </xf>
    <xf numFmtId="0" fontId="42" fillId="13" borderId="6" xfId="0" applyFont="1" applyFill="1" applyBorder="1" applyAlignment="1" applyProtection="1">
      <alignment horizontal="center" vertical="center" wrapText="1"/>
    </xf>
    <xf numFmtId="49" fontId="43" fillId="6" borderId="46" xfId="2" applyNumberFormat="1" applyFont="1" applyFill="1" applyBorder="1" applyAlignment="1" applyProtection="1">
      <alignment horizontal="center" vertical="center" wrapText="1"/>
    </xf>
    <xf numFmtId="49" fontId="43" fillId="6" borderId="48" xfId="2" applyNumberFormat="1" applyFont="1" applyFill="1" applyBorder="1" applyAlignment="1" applyProtection="1">
      <alignment horizontal="center" vertical="center" wrapText="1"/>
    </xf>
    <xf numFmtId="49" fontId="43" fillId="6" borderId="20" xfId="2" applyNumberFormat="1" applyFont="1" applyFill="1" applyBorder="1" applyAlignment="1" applyProtection="1">
      <alignment horizontal="center" vertical="center" wrapText="1"/>
    </xf>
    <xf numFmtId="49" fontId="43" fillId="6" borderId="33" xfId="2" applyNumberFormat="1" applyFont="1" applyFill="1" applyBorder="1" applyAlignment="1" applyProtection="1">
      <alignment horizontal="center" vertical="center" wrapText="1"/>
    </xf>
    <xf numFmtId="49" fontId="43" fillId="6" borderId="47" xfId="2" applyNumberFormat="1" applyFont="1" applyFill="1" applyBorder="1" applyAlignment="1" applyProtection="1">
      <alignment horizontal="center" vertical="center" wrapText="1"/>
    </xf>
    <xf numFmtId="49" fontId="43" fillId="6" borderId="49" xfId="2" applyNumberFormat="1" applyFont="1" applyFill="1" applyBorder="1" applyAlignment="1" applyProtection="1">
      <alignment horizontal="center" vertical="center" wrapText="1"/>
    </xf>
    <xf numFmtId="0" fontId="48" fillId="0" borderId="55" xfId="0" applyFont="1" applyFill="1" applyBorder="1" applyAlignment="1" applyProtection="1">
      <alignment horizontal="center" vertical="center"/>
    </xf>
    <xf numFmtId="0" fontId="48" fillId="0" borderId="27" xfId="0" applyFont="1" applyFill="1" applyBorder="1" applyAlignment="1" applyProtection="1">
      <alignment horizontal="center" vertical="center"/>
    </xf>
    <xf numFmtId="0" fontId="48" fillId="0" borderId="53" xfId="0" applyFont="1" applyFill="1" applyBorder="1" applyAlignment="1" applyProtection="1">
      <alignment horizontal="center" vertical="center"/>
    </xf>
    <xf numFmtId="0" fontId="27" fillId="0" borderId="34" xfId="0" applyFont="1" applyFill="1" applyBorder="1" applyAlignment="1" applyProtection="1">
      <alignment horizontal="center" vertical="center"/>
    </xf>
    <xf numFmtId="0" fontId="27" fillId="0" borderId="61" xfId="0" applyFont="1" applyFill="1" applyBorder="1" applyAlignment="1" applyProtection="1">
      <alignment horizontal="center" vertical="center"/>
    </xf>
    <xf numFmtId="0" fontId="27" fillId="0" borderId="35" xfId="0" applyFont="1" applyFill="1" applyBorder="1" applyAlignment="1" applyProtection="1">
      <alignment horizontal="center" vertical="center"/>
    </xf>
    <xf numFmtId="0" fontId="8" fillId="6" borderId="42" xfId="0" applyFont="1" applyFill="1" applyBorder="1" applyAlignment="1" applyProtection="1">
      <alignment horizontal="center" vertical="center"/>
    </xf>
    <xf numFmtId="0" fontId="8" fillId="6" borderId="49" xfId="0" applyFont="1" applyFill="1" applyBorder="1" applyAlignment="1" applyProtection="1">
      <alignment horizontal="center" vertical="center"/>
    </xf>
    <xf numFmtId="0" fontId="48" fillId="0" borderId="34" xfId="0" applyFont="1" applyFill="1" applyBorder="1" applyAlignment="1" applyProtection="1">
      <alignment horizontal="center" vertical="center" wrapText="1"/>
    </xf>
    <xf numFmtId="0" fontId="48" fillId="0" borderId="61" xfId="0" applyFont="1" applyFill="1" applyBorder="1" applyAlignment="1" applyProtection="1">
      <alignment horizontal="center" vertical="center" wrapText="1"/>
    </xf>
    <xf numFmtId="0" fontId="48" fillId="0" borderId="35" xfId="0" applyFont="1" applyFill="1" applyBorder="1" applyAlignment="1" applyProtection="1">
      <alignment horizontal="center" vertical="center" wrapText="1"/>
    </xf>
    <xf numFmtId="0" fontId="48" fillId="0" borderId="22" xfId="0" applyFont="1" applyFill="1" applyBorder="1" applyAlignment="1" applyProtection="1">
      <alignment horizontal="center" vertical="center" wrapText="1"/>
    </xf>
    <xf numFmtId="0" fontId="48" fillId="0" borderId="24" xfId="0" applyFont="1" applyFill="1" applyBorder="1" applyAlignment="1" applyProtection="1">
      <alignment horizontal="center" vertical="center" wrapText="1"/>
    </xf>
    <xf numFmtId="0" fontId="48" fillId="0" borderId="21" xfId="0" applyFont="1" applyFill="1" applyBorder="1" applyAlignment="1" applyProtection="1">
      <alignment horizontal="center" vertical="center" wrapText="1"/>
    </xf>
    <xf numFmtId="0" fontId="8" fillId="6" borderId="62" xfId="0" applyFont="1" applyFill="1" applyBorder="1" applyAlignment="1" applyProtection="1">
      <alignment horizontal="center" vertical="center" wrapText="1"/>
    </xf>
    <xf numFmtId="0" fontId="8" fillId="6" borderId="26" xfId="0" applyFont="1" applyFill="1" applyBorder="1" applyAlignment="1" applyProtection="1">
      <alignment horizontal="center" vertical="center" wrapText="1"/>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4" fillId="6" borderId="42" xfId="0" applyFont="1" applyFill="1" applyBorder="1" applyAlignment="1" applyProtection="1">
      <alignment horizontal="center" vertical="center" wrapText="1"/>
    </xf>
    <xf numFmtId="0" fontId="4" fillId="6" borderId="12" xfId="0" applyFont="1" applyFill="1" applyBorder="1" applyAlignment="1" applyProtection="1">
      <alignment horizontal="center" vertical="center" wrapText="1"/>
    </xf>
    <xf numFmtId="0" fontId="8" fillId="6" borderId="4" xfId="0" applyFont="1" applyFill="1" applyBorder="1" applyAlignment="1" applyProtection="1">
      <alignment horizontal="center" vertical="center"/>
    </xf>
    <xf numFmtId="0" fontId="8" fillId="6" borderId="48" xfId="0" applyFont="1" applyFill="1" applyBorder="1" applyAlignment="1" applyProtection="1">
      <alignment horizontal="center" vertical="center"/>
    </xf>
    <xf numFmtId="2" fontId="4" fillId="6" borderId="1" xfId="0" applyNumberFormat="1" applyFont="1" applyFill="1" applyBorder="1" applyAlignment="1" applyProtection="1">
      <alignment horizontal="left" vertical="center" wrapText="1"/>
      <protection hidden="1"/>
    </xf>
    <xf numFmtId="2" fontId="30" fillId="6" borderId="2" xfId="0" applyNumberFormat="1" applyFont="1" applyFill="1" applyBorder="1" applyAlignment="1" applyProtection="1">
      <alignment horizontal="center" vertical="center" wrapText="1"/>
      <protection hidden="1"/>
    </xf>
    <xf numFmtId="2" fontId="30" fillId="6" borderId="3" xfId="0" applyNumberFormat="1" applyFont="1" applyFill="1" applyBorder="1" applyAlignment="1" applyProtection="1">
      <alignment horizontal="center" vertical="center" wrapText="1"/>
      <protection hidden="1"/>
    </xf>
    <xf numFmtId="2" fontId="22" fillId="3" borderId="0" xfId="0" applyNumberFormat="1" applyFont="1" applyFill="1" applyBorder="1" applyAlignment="1" applyProtection="1">
      <alignment horizontal="center" vertical="center" wrapText="1"/>
      <protection hidden="1"/>
    </xf>
    <xf numFmtId="2" fontId="38" fillId="3" borderId="0" xfId="0" applyNumberFormat="1" applyFont="1" applyFill="1" applyBorder="1" applyAlignment="1" applyProtection="1">
      <alignment horizontal="center" vertical="center"/>
      <protection hidden="1"/>
    </xf>
    <xf numFmtId="2" fontId="19" fillId="2" borderId="2" xfId="0" applyNumberFormat="1" applyFont="1" applyFill="1" applyBorder="1" applyAlignment="1" applyProtection="1">
      <alignment horizontal="left" vertical="center"/>
      <protection hidden="1"/>
    </xf>
    <xf numFmtId="2" fontId="19" fillId="2" borderId="19" xfId="0" applyNumberFormat="1" applyFont="1" applyFill="1" applyBorder="1" applyAlignment="1" applyProtection="1">
      <alignment horizontal="left" vertical="center"/>
      <protection hidden="1"/>
    </xf>
    <xf numFmtId="2" fontId="19" fillId="2" borderId="3" xfId="0" applyNumberFormat="1" applyFont="1" applyFill="1" applyBorder="1" applyAlignment="1" applyProtection="1">
      <alignment horizontal="left" vertical="center"/>
      <protection hidden="1"/>
    </xf>
    <xf numFmtId="2" fontId="25" fillId="12" borderId="1" xfId="0" applyNumberFormat="1" applyFont="1" applyFill="1" applyBorder="1" applyAlignment="1" applyProtection="1">
      <alignment horizontal="center" vertical="center"/>
      <protection hidden="1"/>
    </xf>
    <xf numFmtId="2" fontId="30" fillId="6" borderId="27" xfId="0" applyNumberFormat="1" applyFont="1" applyFill="1" applyBorder="1" applyAlignment="1" applyProtection="1">
      <alignment horizontal="center" vertical="center" wrapText="1"/>
      <protection hidden="1"/>
    </xf>
    <xf numFmtId="2" fontId="42" fillId="8" borderId="14" xfId="0" applyNumberFormat="1" applyFont="1" applyFill="1" applyBorder="1" applyAlignment="1" applyProtection="1">
      <alignment horizontal="center" vertical="center" wrapText="1"/>
      <protection hidden="1"/>
    </xf>
    <xf numFmtId="2" fontId="42" fillId="8" borderId="15" xfId="0" applyNumberFormat="1" applyFont="1" applyFill="1" applyBorder="1" applyAlignment="1" applyProtection="1">
      <alignment horizontal="center" vertical="center" wrapText="1"/>
      <protection hidden="1"/>
    </xf>
    <xf numFmtId="2" fontId="42" fillId="8" borderId="16" xfId="0" applyNumberFormat="1" applyFont="1" applyFill="1" applyBorder="1" applyAlignment="1" applyProtection="1">
      <alignment horizontal="center" vertical="center" wrapText="1"/>
      <protection hidden="1"/>
    </xf>
    <xf numFmtId="2" fontId="19" fillId="2" borderId="17" xfId="0" applyNumberFormat="1" applyFont="1" applyFill="1" applyBorder="1" applyAlignment="1" applyProtection="1">
      <alignment horizontal="left" vertical="center"/>
      <protection hidden="1"/>
    </xf>
    <xf numFmtId="2" fontId="19" fillId="2" borderId="25" xfId="0" applyNumberFormat="1" applyFont="1" applyFill="1" applyBorder="1" applyAlignment="1" applyProtection="1">
      <alignment horizontal="left" vertical="center"/>
      <protection hidden="1"/>
    </xf>
    <xf numFmtId="2" fontId="19" fillId="2" borderId="18" xfId="0" applyNumberFormat="1" applyFont="1" applyFill="1" applyBorder="1" applyAlignment="1" applyProtection="1">
      <alignment horizontal="left" vertical="center"/>
      <protection hidden="1"/>
    </xf>
    <xf numFmtId="2" fontId="20" fillId="6" borderId="20" xfId="0" applyNumberFormat="1" applyFont="1" applyFill="1" applyBorder="1" applyAlignment="1" applyProtection="1">
      <alignment horizontal="center" vertical="center"/>
      <protection hidden="1"/>
    </xf>
    <xf numFmtId="2" fontId="45" fillId="8" borderId="14" xfId="0" applyNumberFormat="1" applyFont="1" applyFill="1" applyBorder="1" applyAlignment="1" applyProtection="1">
      <alignment horizontal="center" vertical="center"/>
      <protection hidden="1"/>
    </xf>
    <xf numFmtId="2" fontId="45" fillId="8" borderId="15" xfId="0" applyNumberFormat="1" applyFont="1" applyFill="1" applyBorder="1" applyAlignment="1" applyProtection="1">
      <alignment horizontal="center" vertical="center"/>
      <protection hidden="1"/>
    </xf>
    <xf numFmtId="2" fontId="45" fillId="8" borderId="16" xfId="0" applyNumberFormat="1" applyFont="1" applyFill="1" applyBorder="1" applyAlignment="1" applyProtection="1">
      <alignment horizontal="center" vertical="center"/>
      <protection hidden="1"/>
    </xf>
    <xf numFmtId="2" fontId="26" fillId="8" borderId="14" xfId="0" applyNumberFormat="1" applyFont="1" applyFill="1" applyBorder="1" applyAlignment="1" applyProtection="1">
      <alignment horizontal="center" vertical="center"/>
      <protection hidden="1"/>
    </xf>
    <xf numFmtId="2" fontId="26" fillId="8" borderId="15" xfId="0" applyNumberFormat="1" applyFont="1" applyFill="1" applyBorder="1" applyAlignment="1" applyProtection="1">
      <alignment horizontal="center" vertical="center"/>
      <protection hidden="1"/>
    </xf>
    <xf numFmtId="2" fontId="26" fillId="8" borderId="16" xfId="0" applyNumberFormat="1" applyFont="1" applyFill="1" applyBorder="1" applyAlignment="1" applyProtection="1">
      <alignment horizontal="center" vertical="center"/>
      <protection hidden="1"/>
    </xf>
    <xf numFmtId="2" fontId="42" fillId="3" borderId="14" xfId="0" applyNumberFormat="1" applyFont="1" applyFill="1" applyBorder="1" applyAlignment="1" applyProtection="1">
      <alignment horizontal="center" vertical="center" wrapText="1"/>
      <protection hidden="1"/>
    </xf>
    <xf numFmtId="2" fontId="42" fillId="3" borderId="15" xfId="0" applyNumberFormat="1" applyFont="1" applyFill="1" applyBorder="1" applyAlignment="1" applyProtection="1">
      <alignment horizontal="center" vertical="center" wrapText="1"/>
      <protection hidden="1"/>
    </xf>
    <xf numFmtId="2" fontId="42" fillId="3" borderId="16" xfId="0" applyNumberFormat="1" applyFont="1" applyFill="1" applyBorder="1" applyAlignment="1" applyProtection="1">
      <alignment horizontal="center" vertical="center" wrapText="1"/>
      <protection hidden="1"/>
    </xf>
    <xf numFmtId="2" fontId="29" fillId="6" borderId="9" xfId="0" applyNumberFormat="1" applyFont="1" applyFill="1" applyBorder="1" applyAlignment="1" applyProtection="1">
      <alignment horizontal="center" vertical="center"/>
      <protection hidden="1"/>
    </xf>
    <xf numFmtId="2" fontId="29" fillId="6" borderId="10" xfId="0" applyNumberFormat="1" applyFont="1" applyFill="1" applyBorder="1" applyAlignment="1" applyProtection="1">
      <alignment horizontal="center" vertical="center"/>
      <protection hidden="1"/>
    </xf>
    <xf numFmtId="2" fontId="29" fillId="6" borderId="11" xfId="0" applyNumberFormat="1" applyFont="1" applyFill="1" applyBorder="1" applyAlignment="1" applyProtection="1">
      <alignment horizontal="center" vertical="center"/>
      <protection hidden="1"/>
    </xf>
    <xf numFmtId="2" fontId="25" fillId="6" borderId="2" xfId="0" applyNumberFormat="1" applyFont="1" applyFill="1" applyBorder="1" applyAlignment="1" applyProtection="1">
      <alignment horizontal="center" vertical="center" wrapText="1"/>
      <protection hidden="1"/>
    </xf>
    <xf numFmtId="2" fontId="25" fillId="6" borderId="19" xfId="0" applyNumberFormat="1" applyFont="1" applyFill="1" applyBorder="1" applyAlignment="1" applyProtection="1">
      <alignment horizontal="center" vertical="center" wrapText="1"/>
      <protection hidden="1"/>
    </xf>
    <xf numFmtId="2" fontId="19" fillId="6" borderId="19" xfId="0" applyNumberFormat="1" applyFont="1" applyFill="1" applyBorder="1" applyAlignment="1" applyProtection="1">
      <alignment horizontal="center" vertical="center"/>
      <protection hidden="1"/>
    </xf>
    <xf numFmtId="2" fontId="19" fillId="6" borderId="3" xfId="0" applyNumberFormat="1" applyFont="1" applyFill="1" applyBorder="1" applyAlignment="1" applyProtection="1">
      <alignment horizontal="center" vertical="center"/>
      <protection hidden="1"/>
    </xf>
    <xf numFmtId="2" fontId="19" fillId="6" borderId="19" xfId="0" applyNumberFormat="1" applyFont="1" applyFill="1" applyBorder="1" applyAlignment="1" applyProtection="1">
      <alignment horizontal="center"/>
      <protection hidden="1"/>
    </xf>
    <xf numFmtId="2" fontId="19" fillId="6" borderId="3" xfId="0" applyNumberFormat="1" applyFont="1" applyFill="1" applyBorder="1" applyAlignment="1" applyProtection="1">
      <alignment horizontal="center"/>
      <protection hidden="1"/>
    </xf>
    <xf numFmtId="2" fontId="25" fillId="6" borderId="17" xfId="0" applyNumberFormat="1" applyFont="1" applyFill="1" applyBorder="1" applyAlignment="1" applyProtection="1">
      <alignment horizontal="center" vertical="center"/>
      <protection hidden="1"/>
    </xf>
    <xf numFmtId="2" fontId="25" fillId="6" borderId="25" xfId="0" applyNumberFormat="1" applyFont="1" applyFill="1" applyBorder="1" applyAlignment="1" applyProtection="1">
      <alignment horizontal="center" vertical="center"/>
      <protection hidden="1"/>
    </xf>
    <xf numFmtId="2" fontId="25" fillId="6" borderId="18" xfId="0" applyNumberFormat="1" applyFont="1" applyFill="1" applyBorder="1" applyAlignment="1" applyProtection="1">
      <alignment horizontal="center" vertical="center"/>
      <protection hidden="1"/>
    </xf>
    <xf numFmtId="2" fontId="25" fillId="6" borderId="2" xfId="0" applyNumberFormat="1" applyFont="1" applyFill="1" applyBorder="1" applyAlignment="1" applyProtection="1">
      <alignment horizontal="left" vertical="center" wrapText="1"/>
      <protection hidden="1"/>
    </xf>
    <xf numFmtId="2" fontId="25" fillId="6" borderId="19" xfId="0" applyNumberFormat="1" applyFont="1" applyFill="1" applyBorder="1" applyAlignment="1" applyProtection="1">
      <alignment horizontal="left" vertical="center" wrapText="1"/>
      <protection hidden="1"/>
    </xf>
    <xf numFmtId="2" fontId="42" fillId="3" borderId="14" xfId="0" applyNumberFormat="1" applyFont="1" applyFill="1" applyBorder="1" applyAlignment="1" applyProtection="1">
      <alignment horizontal="center" vertical="center"/>
      <protection hidden="1"/>
    </xf>
    <xf numFmtId="2" fontId="42" fillId="3" borderId="15" xfId="0" applyNumberFormat="1" applyFont="1" applyFill="1" applyBorder="1" applyAlignment="1" applyProtection="1">
      <alignment horizontal="center" vertical="center"/>
      <protection hidden="1"/>
    </xf>
    <xf numFmtId="2" fontId="42" fillId="3" borderId="16" xfId="0" applyNumberFormat="1" applyFont="1" applyFill="1" applyBorder="1" applyAlignment="1" applyProtection="1">
      <alignment horizontal="center" vertical="center"/>
      <protection hidden="1"/>
    </xf>
    <xf numFmtId="2" fontId="42" fillId="3" borderId="22" xfId="0" applyNumberFormat="1" applyFont="1" applyFill="1" applyBorder="1" applyAlignment="1" applyProtection="1">
      <alignment horizontal="center" vertical="center"/>
      <protection hidden="1"/>
    </xf>
    <xf numFmtId="2" fontId="42" fillId="3" borderId="32" xfId="0" applyNumberFormat="1" applyFont="1" applyFill="1" applyBorder="1" applyAlignment="1" applyProtection="1">
      <alignment horizontal="center" vertical="center"/>
      <protection hidden="1"/>
    </xf>
    <xf numFmtId="2" fontId="25" fillId="6" borderId="1" xfId="0" applyNumberFormat="1" applyFont="1" applyFill="1" applyBorder="1" applyAlignment="1" applyProtection="1">
      <alignment horizontal="center" vertical="center" wrapText="1"/>
      <protection hidden="1"/>
    </xf>
    <xf numFmtId="0" fontId="21" fillId="6" borderId="19" xfId="0" applyFont="1" applyFill="1" applyBorder="1" applyAlignment="1" applyProtection="1">
      <alignment horizontal="center"/>
      <protection hidden="1"/>
    </xf>
    <xf numFmtId="0" fontId="21" fillId="6" borderId="3" xfId="0" applyFont="1" applyFill="1" applyBorder="1" applyAlignment="1" applyProtection="1">
      <alignment horizontal="center"/>
      <protection hidden="1"/>
    </xf>
    <xf numFmtId="2" fontId="19" fillId="6" borderId="1" xfId="0" applyNumberFormat="1" applyFont="1" applyFill="1" applyBorder="1" applyAlignment="1" applyProtection="1">
      <alignment horizontal="center"/>
      <protection hidden="1"/>
    </xf>
    <xf numFmtId="2" fontId="25" fillId="6" borderId="25" xfId="0" applyNumberFormat="1" applyFont="1" applyFill="1" applyBorder="1" applyAlignment="1" applyProtection="1">
      <alignment horizontal="left" vertical="center" wrapText="1"/>
      <protection hidden="1"/>
    </xf>
    <xf numFmtId="2" fontId="25" fillId="6" borderId="3" xfId="0" applyNumberFormat="1" applyFont="1" applyFill="1" applyBorder="1" applyAlignment="1" applyProtection="1">
      <alignment horizontal="left" vertical="center" wrapText="1"/>
      <protection hidden="1"/>
    </xf>
    <xf numFmtId="2" fontId="25" fillId="6" borderId="28" xfId="0" applyNumberFormat="1" applyFont="1" applyFill="1" applyBorder="1" applyAlignment="1" applyProtection="1">
      <alignment horizontal="left" vertical="center" wrapText="1"/>
      <protection hidden="1"/>
    </xf>
    <xf numFmtId="2" fontId="25" fillId="6" borderId="29" xfId="0" applyNumberFormat="1" applyFont="1" applyFill="1" applyBorder="1" applyAlignment="1" applyProtection="1">
      <alignment horizontal="left" vertical="center" wrapText="1"/>
      <protection hidden="1"/>
    </xf>
    <xf numFmtId="2" fontId="19" fillId="9" borderId="1" xfId="0" applyNumberFormat="1" applyFont="1" applyFill="1" applyBorder="1" applyAlignment="1" applyProtection="1">
      <alignment horizontal="center" vertical="center"/>
      <protection hidden="1"/>
    </xf>
    <xf numFmtId="2" fontId="25" fillId="6" borderId="1" xfId="0" applyNumberFormat="1" applyFont="1" applyFill="1" applyBorder="1" applyAlignment="1" applyProtection="1">
      <alignment horizontal="left" vertical="center"/>
      <protection hidden="1"/>
    </xf>
    <xf numFmtId="2" fontId="20" fillId="6" borderId="1" xfId="2" applyNumberFormat="1" applyFont="1" applyFill="1" applyBorder="1" applyAlignment="1" applyProtection="1">
      <alignment horizontal="center" vertical="center" wrapText="1"/>
      <protection hidden="1"/>
    </xf>
    <xf numFmtId="2" fontId="20" fillId="6" borderId="2" xfId="2" applyNumberFormat="1" applyFont="1" applyFill="1" applyBorder="1" applyAlignment="1" applyProtection="1">
      <alignment horizontal="center" vertical="center" wrapText="1"/>
      <protection hidden="1"/>
    </xf>
    <xf numFmtId="2" fontId="19" fillId="6" borderId="20" xfId="0" applyNumberFormat="1" applyFont="1" applyFill="1" applyBorder="1" applyAlignment="1" applyProtection="1">
      <alignment horizontal="center" vertical="center" wrapText="1"/>
      <protection hidden="1"/>
    </xf>
    <xf numFmtId="2" fontId="19" fillId="6" borderId="17" xfId="0" applyNumberFormat="1" applyFont="1" applyFill="1" applyBorder="1" applyAlignment="1" applyProtection="1">
      <alignment horizontal="center" vertical="center" wrapText="1"/>
      <protection hidden="1"/>
    </xf>
    <xf numFmtId="2" fontId="20" fillId="6" borderId="20" xfId="2" applyNumberFormat="1" applyFont="1" applyFill="1" applyBorder="1" applyAlignment="1" applyProtection="1">
      <alignment horizontal="center" vertical="center" wrapText="1"/>
      <protection hidden="1"/>
    </xf>
    <xf numFmtId="2" fontId="21" fillId="6" borderId="1" xfId="2" applyNumberFormat="1" applyFont="1" applyFill="1" applyBorder="1" applyAlignment="1" applyProtection="1">
      <alignment horizontal="center" vertical="center" wrapText="1"/>
      <protection hidden="1"/>
    </xf>
    <xf numFmtId="2" fontId="26" fillId="3" borderId="0" xfId="0" applyNumberFormat="1" applyFont="1" applyFill="1" applyBorder="1" applyAlignment="1" applyProtection="1">
      <alignment horizontal="center" vertical="center"/>
      <protection hidden="1"/>
    </xf>
    <xf numFmtId="2" fontId="25" fillId="6" borderId="0" xfId="0" applyNumberFormat="1" applyFont="1" applyFill="1" applyBorder="1" applyAlignment="1" applyProtection="1">
      <alignment horizontal="left" vertical="center" wrapText="1"/>
      <protection hidden="1"/>
    </xf>
    <xf numFmtId="2" fontId="26" fillId="8" borderId="14" xfId="0" applyNumberFormat="1" applyFont="1" applyFill="1" applyBorder="1" applyAlignment="1" applyProtection="1">
      <alignment horizontal="center" vertical="center" wrapText="1"/>
      <protection hidden="1"/>
    </xf>
    <xf numFmtId="2" fontId="26" fillId="8" borderId="15" xfId="0" applyNumberFormat="1" applyFont="1" applyFill="1" applyBorder="1" applyAlignment="1" applyProtection="1">
      <alignment horizontal="center" vertical="center" wrapText="1"/>
      <protection hidden="1"/>
    </xf>
    <xf numFmtId="2" fontId="26" fillId="8" borderId="16" xfId="0" applyNumberFormat="1" applyFont="1" applyFill="1" applyBorder="1" applyAlignment="1" applyProtection="1">
      <alignment horizontal="center" vertical="center" wrapText="1"/>
      <protection hidden="1"/>
    </xf>
    <xf numFmtId="2" fontId="42" fillId="3" borderId="0" xfId="0" applyNumberFormat="1" applyFont="1" applyFill="1" applyBorder="1" applyAlignment="1" applyProtection="1">
      <alignment horizontal="center" vertical="center"/>
      <protection hidden="1"/>
    </xf>
    <xf numFmtId="2" fontId="19" fillId="0" borderId="26" xfId="0" applyNumberFormat="1" applyFont="1" applyBorder="1" applyAlignment="1" applyProtection="1">
      <alignment horizontal="center"/>
      <protection hidden="1"/>
    </xf>
    <xf numFmtId="2" fontId="19" fillId="0" borderId="29" xfId="0" applyNumberFormat="1" applyFont="1" applyBorder="1" applyAlignment="1" applyProtection="1">
      <alignment horizontal="center"/>
      <protection hidden="1"/>
    </xf>
    <xf numFmtId="2" fontId="19" fillId="0" borderId="31" xfId="0" applyNumberFormat="1" applyFont="1" applyBorder="1" applyAlignment="1" applyProtection="1">
      <alignment horizontal="center"/>
      <protection hidden="1"/>
    </xf>
    <xf numFmtId="2" fontId="19" fillId="0" borderId="30" xfId="0" applyNumberFormat="1" applyFont="1" applyBorder="1" applyAlignment="1" applyProtection="1">
      <alignment horizontal="center"/>
      <protection hidden="1"/>
    </xf>
    <xf numFmtId="2" fontId="19" fillId="0" borderId="17" xfId="0" applyNumberFormat="1" applyFont="1" applyBorder="1" applyAlignment="1" applyProtection="1">
      <alignment horizontal="center"/>
      <protection hidden="1"/>
    </xf>
    <xf numFmtId="2" fontId="19" fillId="0" borderId="18" xfId="0" applyNumberFormat="1" applyFont="1" applyBorder="1" applyAlignment="1" applyProtection="1">
      <alignment horizontal="center"/>
      <protection hidden="1"/>
    </xf>
    <xf numFmtId="2" fontId="21" fillId="6" borderId="20" xfId="0" applyNumberFormat="1" applyFont="1" applyFill="1" applyBorder="1" applyAlignment="1" applyProtection="1">
      <alignment horizontal="center" vertical="center"/>
      <protection hidden="1"/>
    </xf>
    <xf numFmtId="2" fontId="22" fillId="3" borderId="14" xfId="0" applyNumberFormat="1" applyFont="1" applyFill="1" applyBorder="1" applyAlignment="1" applyProtection="1">
      <alignment horizontal="center" vertical="center" wrapText="1"/>
      <protection hidden="1"/>
    </xf>
    <xf numFmtId="2" fontId="22" fillId="3" borderId="15" xfId="0" applyNumberFormat="1" applyFont="1" applyFill="1" applyBorder="1" applyAlignment="1" applyProtection="1">
      <alignment horizontal="center" vertical="center" wrapText="1"/>
      <protection hidden="1"/>
    </xf>
    <xf numFmtId="2" fontId="22" fillId="3" borderId="16" xfId="0" applyNumberFormat="1" applyFont="1" applyFill="1" applyBorder="1" applyAlignment="1" applyProtection="1">
      <alignment horizontal="center" vertical="center" wrapText="1"/>
      <protection hidden="1"/>
    </xf>
    <xf numFmtId="2" fontId="20" fillId="6" borderId="1" xfId="2" applyNumberFormat="1" applyFont="1" applyFill="1" applyBorder="1" applyAlignment="1" applyProtection="1">
      <alignment horizontal="left" vertical="center"/>
      <protection hidden="1"/>
    </xf>
    <xf numFmtId="2" fontId="20" fillId="6" borderId="2" xfId="2" applyNumberFormat="1" applyFont="1" applyFill="1" applyBorder="1" applyAlignment="1" applyProtection="1">
      <alignment horizontal="left" vertical="center"/>
      <protection hidden="1"/>
    </xf>
    <xf numFmtId="2" fontId="42" fillId="3" borderId="23" xfId="0" applyNumberFormat="1" applyFont="1" applyFill="1" applyBorder="1" applyAlignment="1" applyProtection="1">
      <alignment horizontal="center" vertical="center"/>
      <protection hidden="1"/>
    </xf>
    <xf numFmtId="2" fontId="19" fillId="9" borderId="2" xfId="0" applyNumberFormat="1" applyFont="1" applyFill="1" applyBorder="1" applyAlignment="1" applyProtection="1">
      <alignment horizontal="center" vertical="center"/>
      <protection hidden="1"/>
    </xf>
    <xf numFmtId="2" fontId="19" fillId="9" borderId="3" xfId="0" applyNumberFormat="1" applyFont="1" applyFill="1" applyBorder="1" applyAlignment="1" applyProtection="1">
      <alignment horizontal="center" vertical="center"/>
      <protection hidden="1"/>
    </xf>
    <xf numFmtId="2" fontId="20" fillId="6" borderId="2" xfId="2" applyNumberFormat="1" applyFont="1" applyFill="1" applyBorder="1" applyAlignment="1" applyProtection="1">
      <alignment horizontal="left" vertical="center" wrapText="1"/>
      <protection hidden="1"/>
    </xf>
    <xf numFmtId="2" fontId="20" fillId="6" borderId="3" xfId="2" applyNumberFormat="1" applyFont="1" applyFill="1" applyBorder="1" applyAlignment="1" applyProtection="1">
      <alignment horizontal="left" vertical="center" wrapText="1"/>
      <protection hidden="1"/>
    </xf>
    <xf numFmtId="2" fontId="41" fillId="0" borderId="26" xfId="0" applyNumberFormat="1" applyFont="1" applyFill="1" applyBorder="1" applyAlignment="1" applyProtection="1">
      <alignment horizontal="center" vertical="center" wrapText="1"/>
      <protection hidden="1"/>
    </xf>
    <xf numFmtId="2" fontId="41" fillId="0" borderId="28" xfId="0" applyNumberFormat="1" applyFont="1" applyFill="1" applyBorder="1" applyAlignment="1" applyProtection="1">
      <alignment horizontal="center" vertical="center" wrapText="1"/>
      <protection hidden="1"/>
    </xf>
    <xf numFmtId="2" fontId="41" fillId="0" borderId="29" xfId="0" applyNumberFormat="1" applyFont="1" applyFill="1" applyBorder="1" applyAlignment="1" applyProtection="1">
      <alignment horizontal="center" vertical="center" wrapText="1"/>
      <protection hidden="1"/>
    </xf>
    <xf numFmtId="2" fontId="41" fillId="0" borderId="31" xfId="0" applyNumberFormat="1" applyFont="1" applyFill="1" applyBorder="1" applyAlignment="1" applyProtection="1">
      <alignment horizontal="center" vertical="center" wrapText="1"/>
      <protection hidden="1"/>
    </xf>
    <xf numFmtId="2" fontId="41" fillId="0" borderId="0" xfId="0" applyNumberFormat="1" applyFont="1" applyFill="1" applyBorder="1" applyAlignment="1" applyProtection="1">
      <alignment horizontal="center" vertical="center" wrapText="1"/>
      <protection hidden="1"/>
    </xf>
    <xf numFmtId="2" fontId="41" fillId="0" borderId="30" xfId="0" applyNumberFormat="1" applyFont="1" applyFill="1" applyBorder="1" applyAlignment="1" applyProtection="1">
      <alignment horizontal="center" vertical="center" wrapText="1"/>
      <protection hidden="1"/>
    </xf>
    <xf numFmtId="2" fontId="41" fillId="0" borderId="17" xfId="0" applyNumberFormat="1" applyFont="1" applyFill="1" applyBorder="1" applyAlignment="1" applyProtection="1">
      <alignment horizontal="center" vertical="center" wrapText="1"/>
      <protection hidden="1"/>
    </xf>
    <xf numFmtId="2" fontId="41" fillId="0" borderId="25" xfId="0" applyNumberFormat="1" applyFont="1" applyFill="1" applyBorder="1" applyAlignment="1" applyProtection="1">
      <alignment horizontal="center" vertical="center" wrapText="1"/>
      <protection hidden="1"/>
    </xf>
    <xf numFmtId="2" fontId="41" fillId="0" borderId="18" xfId="0" applyNumberFormat="1" applyFont="1" applyFill="1" applyBorder="1" applyAlignment="1" applyProtection="1">
      <alignment horizontal="center" vertical="center" wrapText="1"/>
      <protection hidden="1"/>
    </xf>
    <xf numFmtId="2" fontId="19" fillId="6" borderId="2" xfId="0" applyNumberFormat="1" applyFont="1" applyFill="1" applyBorder="1" applyAlignment="1" applyProtection="1">
      <alignment horizontal="center"/>
      <protection hidden="1"/>
    </xf>
    <xf numFmtId="168" fontId="19" fillId="9" borderId="2" xfId="0" applyNumberFormat="1" applyFont="1" applyFill="1" applyBorder="1" applyAlignment="1" applyProtection="1">
      <alignment horizontal="center" vertical="center"/>
      <protection hidden="1"/>
    </xf>
    <xf numFmtId="168" fontId="19" fillId="9" borderId="3" xfId="0" applyNumberFormat="1" applyFont="1" applyFill="1" applyBorder="1" applyAlignment="1" applyProtection="1">
      <alignment horizontal="center" vertical="center"/>
      <protection hidden="1"/>
    </xf>
    <xf numFmtId="2" fontId="20" fillId="6" borderId="20" xfId="2" applyNumberFormat="1" applyFont="1" applyFill="1" applyBorder="1" applyAlignment="1" applyProtection="1">
      <alignment horizontal="left" vertical="center"/>
      <protection hidden="1"/>
    </xf>
    <xf numFmtId="2" fontId="20" fillId="6" borderId="3" xfId="2" applyNumberFormat="1" applyFont="1" applyFill="1" applyBorder="1" applyAlignment="1" applyProtection="1">
      <alignment horizontal="left" vertical="center"/>
      <protection hidden="1"/>
    </xf>
    <xf numFmtId="1" fontId="5" fillId="14" borderId="34" xfId="3" applyNumberFormat="1" applyFont="1" applyBorder="1" applyAlignment="1" applyProtection="1">
      <alignment horizontal="center" vertical="center" wrapText="1"/>
      <protection locked="0"/>
    </xf>
    <xf numFmtId="1" fontId="5" fillId="14" borderId="35" xfId="3" applyNumberFormat="1" applyFont="1" applyBorder="1" applyAlignment="1" applyProtection="1">
      <alignment horizontal="center" vertical="center" wrapText="1"/>
      <protection locked="0"/>
    </xf>
    <xf numFmtId="0" fontId="4" fillId="0" borderId="0" xfId="0" applyFont="1" applyAlignment="1">
      <alignment horizontal="left" vertical="center" wrapText="1"/>
    </xf>
    <xf numFmtId="0" fontId="13" fillId="0" borderId="0" xfId="0" applyFont="1" applyAlignment="1">
      <alignment horizontal="left"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0" xfId="0" applyFont="1" applyAlignment="1">
      <alignment horizontal="left"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0" xfId="0" applyFont="1" applyAlignment="1">
      <alignment horizontal="left" vertical="center" wrapText="1"/>
    </xf>
    <xf numFmtId="0" fontId="10" fillId="0" borderId="22"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23" xfId="0" applyFont="1" applyBorder="1" applyAlignment="1">
      <alignment horizontal="center" vertical="center" wrapText="1"/>
    </xf>
    <xf numFmtId="0" fontId="9" fillId="2" borderId="0" xfId="0" applyFont="1" applyFill="1" applyBorder="1" applyAlignment="1">
      <alignment horizontal="justify" vertical="justify" wrapText="1"/>
    </xf>
    <xf numFmtId="0" fontId="9" fillId="0" borderId="21" xfId="0" applyFont="1" applyBorder="1" applyAlignment="1">
      <alignment vertical="center" wrapText="1"/>
    </xf>
    <xf numFmtId="0" fontId="9" fillId="0" borderId="6" xfId="0" applyFont="1" applyBorder="1" applyAlignment="1">
      <alignment vertical="center" wrapText="1"/>
    </xf>
    <xf numFmtId="0" fontId="9" fillId="0" borderId="22" xfId="0" applyFont="1" applyBorder="1" applyAlignment="1">
      <alignment vertical="center" wrapText="1"/>
    </xf>
    <xf numFmtId="0" fontId="9" fillId="0" borderId="23" xfId="0" applyFont="1" applyBorder="1" applyAlignment="1">
      <alignment vertical="center" wrapText="1"/>
    </xf>
    <xf numFmtId="0" fontId="9" fillId="0" borderId="14" xfId="0" applyFont="1" applyBorder="1" applyAlignment="1">
      <alignment vertical="center" wrapText="1"/>
    </xf>
    <xf numFmtId="0" fontId="9" fillId="0" borderId="16" xfId="0" applyFont="1" applyBorder="1" applyAlignment="1">
      <alignment vertical="center" wrapText="1"/>
    </xf>
    <xf numFmtId="0" fontId="9" fillId="0" borderId="0" xfId="0" applyFont="1" applyBorder="1" applyAlignment="1">
      <alignment horizontal="justify" vertical="justify" wrapText="1"/>
    </xf>
    <xf numFmtId="0" fontId="9" fillId="0" borderId="24" xfId="0" applyFont="1" applyBorder="1" applyAlignment="1">
      <alignment horizontal="left" vertical="center" wrapText="1"/>
    </xf>
    <xf numFmtId="0" fontId="9" fillId="0" borderId="0" xfId="0" applyFont="1" applyBorder="1" applyAlignment="1">
      <alignment horizontal="left" vertical="center" wrapText="1"/>
    </xf>
    <xf numFmtId="0" fontId="13" fillId="0" borderId="0" xfId="0" applyFont="1" applyBorder="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14" fontId="9" fillId="0" borderId="0" xfId="0" applyNumberFormat="1" applyFont="1" applyBorder="1" applyAlignment="1">
      <alignment horizontal="left" vertical="center" wrapText="1"/>
    </xf>
    <xf numFmtId="0" fontId="7" fillId="0" borderId="0" xfId="0" applyFont="1" applyAlignment="1">
      <alignment horizontal="center"/>
    </xf>
    <xf numFmtId="0" fontId="49" fillId="0" borderId="0" xfId="0" applyFont="1" applyAlignment="1">
      <alignment horizontal="center" vertical="center" wrapText="1"/>
    </xf>
    <xf numFmtId="0" fontId="9" fillId="0" borderId="0" xfId="0" applyFont="1" applyAlignment="1">
      <alignment horizontal="justify" vertical="justify" wrapText="1"/>
    </xf>
    <xf numFmtId="0" fontId="9" fillId="0" borderId="0" xfId="0" applyFont="1" applyAlignment="1">
      <alignment horizontal="justify" vertical="center" wrapText="1"/>
    </xf>
    <xf numFmtId="0" fontId="15" fillId="0" borderId="0" xfId="0" applyFont="1" applyAlignment="1">
      <alignment horizontal="left" vertical="center" wrapText="1"/>
    </xf>
    <xf numFmtId="0" fontId="12" fillId="0" borderId="0" xfId="0" applyFont="1" applyBorder="1" applyAlignment="1">
      <alignment horizontal="center" vertical="center" wrapText="1"/>
    </xf>
    <xf numFmtId="0" fontId="4" fillId="0" borderId="0" xfId="0" applyFont="1" applyAlignment="1">
      <alignment horizontal="left"/>
    </xf>
    <xf numFmtId="14" fontId="13" fillId="0" borderId="0" xfId="0" applyNumberFormat="1" applyFont="1" applyAlignment="1">
      <alignment horizontal="center" vertical="center" wrapText="1"/>
    </xf>
    <xf numFmtId="0" fontId="13" fillId="0" borderId="0" xfId="0" applyFont="1" applyAlignment="1">
      <alignment horizontal="center" vertical="center" wrapText="1"/>
    </xf>
    <xf numFmtId="0" fontId="12" fillId="0" borderId="0" xfId="0" applyFont="1" applyBorder="1" applyAlignment="1">
      <alignment horizontal="left" vertical="center" wrapText="1"/>
    </xf>
    <xf numFmtId="0" fontId="9" fillId="0" borderId="0" xfId="0" applyFont="1" applyBorder="1" applyAlignment="1">
      <alignment vertical="justify" wrapText="1"/>
    </xf>
    <xf numFmtId="0" fontId="10" fillId="0" borderId="0" xfId="0" applyFont="1" applyBorder="1" applyAlignment="1">
      <alignment horizontal="center" vertical="center" wrapText="1"/>
    </xf>
    <xf numFmtId="0" fontId="16" fillId="0" borderId="0" xfId="0" applyFont="1" applyAlignment="1">
      <alignment horizontal="left" vertical="center" wrapText="1"/>
    </xf>
    <xf numFmtId="0" fontId="9" fillId="0" borderId="0" xfId="0" applyFont="1" applyAlignment="1">
      <alignment horizontal="justify" vertical="justify" wrapText="1" readingOrder="1"/>
    </xf>
    <xf numFmtId="2" fontId="9" fillId="0" borderId="0" xfId="0" applyNumberFormat="1" applyFont="1" applyBorder="1" applyAlignment="1">
      <alignment horizontal="left" vertical="center" wrapText="1"/>
    </xf>
    <xf numFmtId="2" fontId="9" fillId="0" borderId="0" xfId="0" applyNumberFormat="1" applyFont="1" applyBorder="1" applyAlignment="1">
      <alignment horizontal="left" vertical="center"/>
    </xf>
    <xf numFmtId="0" fontId="10" fillId="0" borderId="0" xfId="0" applyFont="1" applyBorder="1" applyAlignment="1">
      <alignment horizontal="left" vertical="center" wrapText="1"/>
    </xf>
    <xf numFmtId="0" fontId="9" fillId="0" borderId="0" xfId="0" applyFont="1" applyBorder="1" applyAlignment="1">
      <alignment horizontal="center" vertical="center" wrapText="1"/>
    </xf>
    <xf numFmtId="0" fontId="6" fillId="0" borderId="22" xfId="0" applyFont="1" applyBorder="1" applyAlignment="1">
      <alignment horizontal="justify" vertical="justify" wrapText="1" readingOrder="1"/>
    </xf>
    <xf numFmtId="0" fontId="6" fillId="0" borderId="23" xfId="0" applyFont="1" applyBorder="1" applyAlignment="1">
      <alignment horizontal="justify" vertical="justify" wrapText="1" readingOrder="1"/>
    </xf>
    <xf numFmtId="0" fontId="6" fillId="0" borderId="24" xfId="0" applyFont="1" applyBorder="1" applyAlignment="1">
      <alignment horizontal="justify" vertical="justify" wrapText="1" readingOrder="1"/>
    </xf>
    <xf numFmtId="0" fontId="6" fillId="0" borderId="41" xfId="0" applyFont="1" applyBorder="1" applyAlignment="1">
      <alignment horizontal="justify" vertical="justify" wrapText="1" readingOrder="1"/>
    </xf>
    <xf numFmtId="0" fontId="6" fillId="0" borderId="21" xfId="0" applyFont="1" applyBorder="1" applyAlignment="1">
      <alignment horizontal="justify" vertical="justify" wrapText="1" readingOrder="1"/>
    </xf>
    <xf numFmtId="0" fontId="6" fillId="0" borderId="6" xfId="0" applyFont="1" applyBorder="1" applyAlignment="1">
      <alignment horizontal="justify" vertical="justify" wrapText="1" readingOrder="1"/>
    </xf>
    <xf numFmtId="0" fontId="7" fillId="0" borderId="0" xfId="0" applyFont="1" applyBorder="1" applyAlignment="1">
      <alignment horizontal="left" vertical="center" wrapText="1"/>
    </xf>
  </cellXfs>
  <cellStyles count="5">
    <cellStyle name="Buena" xfId="2" builtinId="26"/>
    <cellStyle name="Estilo 1" xfId="3"/>
    <cellStyle name="Estilo 2" xfId="4"/>
    <cellStyle name="Normal" xfId="0" builtinId="0"/>
    <cellStyle name="Porcentaje" xfId="1" builtinId="5"/>
  </cellStyles>
  <dxfs count="1">
    <dxf>
      <font>
        <color rgb="FF9C0006"/>
      </font>
      <fill>
        <patternFill>
          <bgColor rgb="FF00B0F0"/>
        </patternFill>
      </fill>
    </dxf>
  </dxfs>
  <tableStyles count="0" defaultTableStyle="TableStyleMedium2" defaultPivotStyle="PivotStyleLight16"/>
  <colors>
    <mruColors>
      <color rgb="FFF4B084"/>
      <color rgb="FF8DB4E2"/>
      <color rgb="FFDDEBF7"/>
      <color rgb="FFBDD7EE"/>
      <color rgb="FFFFC000"/>
      <color rgb="FFB6FD03"/>
      <color rgb="FFFF9900"/>
      <color rgb="FFFFF2CC"/>
      <color rgb="FF1F4E78"/>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32395562366844E-2"/>
          <c:y val="0.10959118038342176"/>
          <c:w val="0.89016256604346367"/>
          <c:h val="0.80768101300863082"/>
        </c:manualLayout>
      </c:layout>
      <c:scatterChart>
        <c:scatterStyle val="lineMarker"/>
        <c:varyColors val="0"/>
        <c:ser>
          <c:idx val="0"/>
          <c:order val="0"/>
          <c:tx>
            <c:strRef>
              <c:f>'RT03-F34'!$J$121:$J$125</c:f>
              <c:strCache>
                <c:ptCount val="5"/>
                <c:pt idx="0">
                  <c:v>#N/A</c:v>
                </c:pt>
                <c:pt idx="1">
                  <c:v>#N/A</c:v>
                </c:pt>
                <c:pt idx="2">
                  <c:v>#N/A</c:v>
                </c:pt>
                <c:pt idx="3">
                  <c:v>#N/A</c:v>
                </c:pt>
                <c:pt idx="4">
                  <c:v>#N/A</c:v>
                </c:pt>
              </c:strCache>
            </c:strRef>
          </c:tx>
          <c:spPr>
            <a:ln w="25400" cap="rnd">
              <a:solidFill>
                <a:schemeClr val="accent1"/>
              </a:solidFill>
              <a:bevel/>
            </a:ln>
            <a:effectLst>
              <a:outerShdw blurRad="57150" dist="19050" dir="5400000" algn="ctr" rotWithShape="0">
                <a:srgbClr val="000000">
                  <a:alpha val="63000"/>
                </a:srgbClr>
              </a:outerShdw>
            </a:effectLst>
          </c:spPr>
          <c:marker>
            <c:symbol val="circle"/>
            <c:size val="6"/>
            <c:spPr>
              <a:solidFill>
                <a:schemeClr val="accent2">
                  <a:lumMod val="75000"/>
                </a:schemeClr>
              </a:solidFill>
              <a:ln w="25400" cap="rnd">
                <a:solidFill>
                  <a:schemeClr val="accent1"/>
                </a:solidFill>
                <a:round/>
              </a:ln>
              <a:effectLst>
                <a:outerShdw blurRad="57150" dist="19050" dir="5400000" algn="ctr" rotWithShape="0">
                  <a:srgbClr val="000000">
                    <a:alpha val="63000"/>
                  </a:srgbClr>
                </a:outerShdw>
              </a:effectLst>
            </c:spPr>
          </c:marker>
          <c:trendline>
            <c:spPr>
              <a:ln w="19050" cap="rnd">
                <a:solidFill>
                  <a:schemeClr val="accent1"/>
                </a:solidFill>
                <a:prstDash val="sysDash"/>
              </a:ln>
              <a:effectLst/>
            </c:spPr>
            <c:trendlineType val="linear"/>
            <c:dispRSqr val="1"/>
            <c:dispEq val="1"/>
            <c:trendlineLbl>
              <c:layout>
                <c:manualLayout>
                  <c:x val="-0.36471686320229446"/>
                  <c:y val="-7.2712303903255546E-2"/>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lt1">
                          <a:lumMod val="75000"/>
                        </a:schemeClr>
                      </a:solidFill>
                      <a:latin typeface="Arial Narrow" panose="020B0606020202030204" pitchFamily="34" charset="0"/>
                      <a:ea typeface="+mn-ea"/>
                      <a:cs typeface="+mn-cs"/>
                    </a:defRPr>
                  </a:pPr>
                  <a:endParaRPr lang="es-CO"/>
                </a:p>
              </c:txPr>
            </c:trendlineLbl>
          </c:trendline>
          <c:trendline>
            <c:spPr>
              <a:ln w="19050" cap="rnd">
                <a:solidFill>
                  <a:schemeClr val="accent1"/>
                </a:solidFill>
                <a:prstDash val="sysDash"/>
              </a:ln>
              <a:effectLst/>
            </c:spPr>
            <c:trendlineType val="linear"/>
            <c:dispRSqr val="0"/>
            <c:dispEq val="0"/>
          </c:trendline>
          <c:errBars>
            <c:errDir val="x"/>
            <c:errBarType val="both"/>
            <c:errValType val="fixedVal"/>
            <c:noEndCap val="0"/>
            <c:val val="1"/>
            <c:spPr>
              <a:noFill/>
              <a:ln w="9525" cap="flat" cmpd="sng" algn="ctr">
                <a:solidFill>
                  <a:schemeClr val="lt1">
                    <a:lumMod val="95000"/>
                  </a:schemeClr>
                </a:solidFill>
                <a:round/>
              </a:ln>
              <a:effectLst/>
            </c:spPr>
          </c:errBars>
          <c:xVal>
            <c:numRef>
              <c:f>'RT03-F34'!$J$121:$J$125</c:f>
              <c:numCache>
                <c:formatCode>0</c:formatCode>
                <c:ptCount val="5"/>
                <c:pt idx="0">
                  <c:v>#N/A</c:v>
                </c:pt>
                <c:pt idx="1">
                  <c:v>#N/A</c:v>
                </c:pt>
                <c:pt idx="2">
                  <c:v>#N/A</c:v>
                </c:pt>
                <c:pt idx="3">
                  <c:v>#N/A</c:v>
                </c:pt>
                <c:pt idx="4">
                  <c:v>#N/A</c:v>
                </c:pt>
              </c:numCache>
            </c:numRef>
          </c:xVal>
          <c:yVal>
            <c:numRef>
              <c:f>'RT03-F34'!$K$121:$K$125</c:f>
              <c:numCache>
                <c:formatCode>0.000</c:formatCode>
                <c:ptCount val="5"/>
                <c:pt idx="0">
                  <c:v>#N/A</c:v>
                </c:pt>
                <c:pt idx="1">
                  <c:v>#N/A</c:v>
                </c:pt>
                <c:pt idx="2">
                  <c:v>#N/A</c:v>
                </c:pt>
                <c:pt idx="3">
                  <c:v>#N/A</c:v>
                </c:pt>
                <c:pt idx="4" formatCode="0.00">
                  <c:v>#N/A</c:v>
                </c:pt>
              </c:numCache>
            </c:numRef>
          </c:yVal>
          <c:smooth val="0"/>
        </c:ser>
        <c:dLbls>
          <c:showLegendKey val="0"/>
          <c:showVal val="0"/>
          <c:showCatName val="0"/>
          <c:showSerName val="0"/>
          <c:showPercent val="0"/>
          <c:showBubbleSize val="0"/>
        </c:dLbls>
        <c:axId val="-623199328"/>
        <c:axId val="-623196064"/>
      </c:scatterChart>
      <c:valAx>
        <c:axId val="-623199328"/>
        <c:scaling>
          <c:orientation val="minMax"/>
          <c:max val="9000"/>
          <c:min val="0"/>
        </c:scaling>
        <c:delete val="0"/>
        <c:axPos val="b"/>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s-CO" cap="none" baseline="0"/>
                  <a:t>CARGA (g)</a:t>
                </a:r>
              </a:p>
            </c:rich>
          </c:tx>
          <c:layout>
            <c:manualLayout>
              <c:xMode val="edge"/>
              <c:yMode val="edge"/>
              <c:x val="0.49284502787607881"/>
              <c:y val="0.82940679881451573"/>
            </c:manualLayout>
          </c:layout>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es-CO"/>
            </a:p>
          </c:txPr>
        </c:title>
        <c:numFmt formatCode="0" sourceLinked="1"/>
        <c:majorTickMark val="out"/>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23196064"/>
        <c:crosses val="autoZero"/>
        <c:crossBetween val="midCat"/>
        <c:majorUnit val="1000"/>
        <c:minorUnit val="10"/>
      </c:valAx>
      <c:valAx>
        <c:axId val="-623196064"/>
        <c:scaling>
          <c:orientation val="minMax"/>
          <c:max val="90"/>
          <c:min val="20"/>
        </c:scaling>
        <c:delete val="0"/>
        <c:axPos val="l"/>
        <c:title>
          <c:tx>
            <c:rich>
              <a:bodyPr rot="-5400000" spcFirstLastPara="1" vertOverflow="ellipsis" vert="horz" wrap="square" anchor="ctr" anchorCtr="1"/>
              <a:lstStyle/>
              <a:p>
                <a:pPr>
                  <a:defRPr sz="900" b="1" i="0" u="none" strike="noStrike" kern="1200" cap="none" baseline="0">
                    <a:solidFill>
                      <a:schemeClr val="lt1">
                        <a:lumMod val="75000"/>
                      </a:schemeClr>
                    </a:solidFill>
                    <a:latin typeface="+mn-lt"/>
                    <a:ea typeface="+mn-ea"/>
                    <a:cs typeface="+mn-cs"/>
                  </a:defRPr>
                </a:pPr>
                <a:r>
                  <a:rPr lang="es-CO" cap="none" baseline="0"/>
                  <a:t>Incertidumbre   mg                    </a:t>
                </a:r>
              </a:p>
            </c:rich>
          </c:tx>
          <c:layout>
            <c:manualLayout>
              <c:xMode val="edge"/>
              <c:yMode val="edge"/>
              <c:x val="1.2119361627031297E-2"/>
              <c:y val="0.27774061735122496"/>
            </c:manualLayout>
          </c:layout>
          <c:overlay val="0"/>
          <c:spPr>
            <a:noFill/>
            <a:ln>
              <a:noFill/>
            </a:ln>
            <a:effectLst/>
          </c:spPr>
          <c:txPr>
            <a:bodyPr rot="-5400000" spcFirstLastPara="1" vertOverflow="ellipsis" vert="horz" wrap="square" anchor="ctr" anchorCtr="1"/>
            <a:lstStyle/>
            <a:p>
              <a:pPr>
                <a:defRPr sz="900" b="1" i="0" u="none" strike="noStrike" kern="1200" cap="none" baseline="0">
                  <a:solidFill>
                    <a:schemeClr val="lt1">
                      <a:lumMod val="75000"/>
                    </a:schemeClr>
                  </a:solidFill>
                  <a:latin typeface="+mn-lt"/>
                  <a:ea typeface="+mn-ea"/>
                  <a:cs typeface="+mn-cs"/>
                </a:defRPr>
              </a:pPr>
              <a:endParaRPr lang="es-CO"/>
            </a:p>
          </c:txPr>
        </c:title>
        <c:numFmt formatCode="0.000" sourceLinked="1"/>
        <c:majorTickMark val="out"/>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23199328"/>
        <c:crosses val="autoZero"/>
        <c:crossBetween val="midCat"/>
        <c:majorUnit val="10"/>
        <c:minorUnit val="2"/>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dk1">
                    <a:lumMod val="50000"/>
                    <a:lumOff val="50000"/>
                  </a:schemeClr>
                </a:solidFill>
                <a:latin typeface="+mn-lt"/>
                <a:ea typeface="+mn-ea"/>
                <a:cs typeface="+mn-cs"/>
              </a:defRPr>
            </a:pPr>
            <a:r>
              <a:rPr lang="es-CO" b="1"/>
              <a:t>ERROR E INCERTIDUMBRE EXPANDIDA</a:t>
            </a: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dk1">
                  <a:lumMod val="50000"/>
                  <a:lumOff val="50000"/>
                </a:schemeClr>
              </a:solidFill>
              <a:latin typeface="+mn-lt"/>
              <a:ea typeface="+mn-ea"/>
              <a:cs typeface="+mn-cs"/>
            </a:defRPr>
          </a:pPr>
          <a:endParaRPr lang="es-CO"/>
        </a:p>
      </c:txPr>
    </c:title>
    <c:autoTitleDeleted val="0"/>
    <c:plotArea>
      <c:layout>
        <c:manualLayout>
          <c:layoutTarget val="inner"/>
          <c:xMode val="edge"/>
          <c:yMode val="edge"/>
          <c:x val="0.16102975995505345"/>
          <c:y val="0.15223223351960843"/>
          <c:w val="0.7767882213169266"/>
          <c:h val="0.7061824505416423"/>
        </c:manualLayout>
      </c:layout>
      <c:scatterChart>
        <c:scatterStyle val="lineMarker"/>
        <c:varyColors val="0"/>
        <c:ser>
          <c:idx val="0"/>
          <c:order val="0"/>
          <c:tx>
            <c:strRef>
              <c:f>'RT03-F36'!$B$107</c:f>
              <c:strCache>
                <c:ptCount val="1"/>
                <c:pt idx="0">
                  <c:v>ERROR (mg)</c:v>
                </c:pt>
              </c:strCache>
            </c:strRef>
          </c:tx>
          <c:spPr>
            <a:ln w="9525" cap="flat" cmpd="sng" algn="ctr">
              <a:noFill/>
              <a:prstDash val="sysDot"/>
              <a:round/>
            </a:ln>
            <a:effectLst/>
          </c:spPr>
          <c:marker>
            <c:symbol val="circle"/>
            <c:size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12700" cap="flat" cmpd="sng" algn="ctr">
                <a:solidFill>
                  <a:srgbClr val="FF0000"/>
                </a:solidFill>
                <a:round/>
              </a:ln>
              <a:effectLst/>
            </c:spPr>
          </c:marker>
          <c:errBars>
            <c:errDir val="y"/>
            <c:errBarType val="both"/>
            <c:errValType val="cust"/>
            <c:noEndCap val="0"/>
            <c:plus>
              <c:numRef>
                <c:f>'RT03-F36'!$C$108:$C$112</c:f>
                <c:numCache>
                  <c:formatCode>General</c:formatCode>
                  <c:ptCount val="5"/>
                  <c:pt idx="0">
                    <c:v>0</c:v>
                  </c:pt>
                  <c:pt idx="1">
                    <c:v>0</c:v>
                  </c:pt>
                  <c:pt idx="2">
                    <c:v>0</c:v>
                  </c:pt>
                  <c:pt idx="3">
                    <c:v>0</c:v>
                  </c:pt>
                  <c:pt idx="4">
                    <c:v>0</c:v>
                  </c:pt>
                </c:numCache>
              </c:numRef>
            </c:plus>
            <c:minus>
              <c:numRef>
                <c:f>'RT03-F36'!$C$108:$C$112</c:f>
                <c:numCache>
                  <c:formatCode>General</c:formatCode>
                  <c:ptCount val="5"/>
                  <c:pt idx="0">
                    <c:v>0</c:v>
                  </c:pt>
                  <c:pt idx="1">
                    <c:v>0</c:v>
                  </c:pt>
                  <c:pt idx="2">
                    <c:v>0</c:v>
                  </c:pt>
                  <c:pt idx="3">
                    <c:v>0</c:v>
                  </c:pt>
                  <c:pt idx="4">
                    <c:v>0</c:v>
                  </c:pt>
                </c:numCache>
              </c:numRef>
            </c:minus>
            <c:spPr>
              <a:noFill/>
              <a:ln w="12700" cap="rnd">
                <a:solidFill>
                  <a:schemeClr val="tx1">
                    <a:alpha val="95000"/>
                  </a:schemeClr>
                </a:solidFill>
                <a:round/>
              </a:ln>
              <a:effectLst/>
            </c:spPr>
          </c:errBars>
          <c:errBars>
            <c:errDir val="x"/>
            <c:errBarType val="both"/>
            <c:errValType val="fixedVal"/>
            <c:noEndCap val="0"/>
            <c:val val="1"/>
            <c:spPr>
              <a:noFill/>
              <a:ln w="9525" cap="rnd">
                <a:solidFill>
                  <a:schemeClr val="dk1">
                    <a:lumMod val="65000"/>
                    <a:lumOff val="35000"/>
                  </a:schemeClr>
                </a:solidFill>
                <a:round/>
              </a:ln>
              <a:effectLst/>
            </c:spPr>
          </c:errBars>
          <c:xVal>
            <c:numRef>
              <c:f>'RT03-F36'!$A$108:$A$112</c:f>
              <c:numCache>
                <c:formatCode>0.0000</c:formatCode>
                <c:ptCount val="5"/>
                <c:pt idx="0" formatCode="0.000000">
                  <c:v>#N/A</c:v>
                </c:pt>
                <c:pt idx="1">
                  <c:v>#N/A</c:v>
                </c:pt>
                <c:pt idx="2">
                  <c:v>#N/A</c:v>
                </c:pt>
                <c:pt idx="3">
                  <c:v>#N/A</c:v>
                </c:pt>
                <c:pt idx="4">
                  <c:v>#N/A</c:v>
                </c:pt>
              </c:numCache>
            </c:numRef>
          </c:xVal>
          <c:yVal>
            <c:numRef>
              <c:f>'RT03-F36'!$B$108:$B$112</c:f>
              <c:numCache>
                <c:formatCode>0.00</c:formatCode>
                <c:ptCount val="5"/>
                <c:pt idx="0" formatCode="0.000">
                  <c:v>0</c:v>
                </c:pt>
                <c:pt idx="1">
                  <c:v>0</c:v>
                </c:pt>
                <c:pt idx="2" formatCode="0.0">
                  <c:v>0</c:v>
                </c:pt>
                <c:pt idx="3">
                  <c:v>0</c:v>
                </c:pt>
                <c:pt idx="4">
                  <c:v>0</c:v>
                </c:pt>
              </c:numCache>
            </c:numRef>
          </c:yVal>
          <c:smooth val="0"/>
        </c:ser>
        <c:dLbls>
          <c:showLegendKey val="0"/>
          <c:showVal val="0"/>
          <c:showCatName val="0"/>
          <c:showSerName val="0"/>
          <c:showPercent val="0"/>
          <c:showBubbleSize val="0"/>
        </c:dLbls>
        <c:axId val="-623195520"/>
        <c:axId val="-623194432"/>
      </c:scatterChart>
      <c:valAx>
        <c:axId val="-623195520"/>
        <c:scaling>
          <c:orientation val="minMax"/>
          <c:max val="9000"/>
          <c:min val="-1000"/>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s-CO" b="1"/>
                  <a:t>Carga ( g )</a:t>
                </a:r>
              </a:p>
            </c:rich>
          </c:tx>
          <c:layout>
            <c:manualLayout>
              <c:xMode val="edge"/>
              <c:yMode val="edge"/>
              <c:x val="0.43942835078333037"/>
              <c:y val="0.92715940113938089"/>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s-CO"/>
            </a:p>
          </c:txPr>
        </c:title>
        <c:numFmt formatCode="#,##0" sourceLinked="0"/>
        <c:majorTickMark val="none"/>
        <c:minorTickMark val="none"/>
        <c:tickLblPos val="low"/>
        <c:spPr>
          <a:solidFill>
            <a:schemeClr val="bg2"/>
          </a:solidFill>
          <a:ln w="12700" cap="rnd" cmpd="thickThin">
            <a:solidFill>
              <a:schemeClr val="accent1">
                <a:lumMod val="75000"/>
                <a:alpha val="95000"/>
              </a:schemeClr>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CO"/>
          </a:p>
        </c:txPr>
        <c:crossAx val="-623194432"/>
        <c:crosses val="autoZero"/>
        <c:crossBetween val="midCat"/>
        <c:majorUnit val="1000"/>
        <c:minorUnit val="10"/>
      </c:valAx>
      <c:valAx>
        <c:axId val="-623194432"/>
        <c:scaling>
          <c:orientation val="minMax"/>
          <c:max val="220"/>
          <c:min val="-36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s-CO" b="1"/>
                  <a:t>Error e Incertidumbre ( mg )</a:t>
                </a:r>
              </a:p>
            </c:rich>
          </c:tx>
          <c:layout>
            <c:manualLayout>
              <c:xMode val="edge"/>
              <c:yMode val="edge"/>
              <c:x val="8.6280109763693213E-2"/>
              <c:y val="0.1973818250059628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s-CO"/>
            </a:p>
          </c:txPr>
        </c:title>
        <c:numFmt formatCode="#,##0" sourceLinked="0"/>
        <c:majorTickMark val="none"/>
        <c:minorTickMark val="none"/>
        <c:tickLblPos val="nextTo"/>
        <c:spPr>
          <a:noFill/>
          <a:ln w="9525" cap="rnd">
            <a:solidFill>
              <a:schemeClr val="accent1"/>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CO"/>
          </a:p>
        </c:txPr>
        <c:crossAx val="-623195520"/>
        <c:crossesAt val="0"/>
        <c:crossBetween val="midCat"/>
        <c:majorUnit val="50"/>
        <c:minorUnit val="4"/>
      </c:valAx>
      <c:spPr>
        <a:gradFill>
          <a:gsLst>
            <a:gs pos="100000">
              <a:schemeClr val="lt1">
                <a:lumMod val="95000"/>
              </a:schemeClr>
            </a:gs>
            <a:gs pos="0">
              <a:schemeClr val="lt1">
                <a:alpha val="0"/>
              </a:schemeClr>
            </a:gs>
          </a:gsLst>
          <a:lin ang="5400000" scaled="0"/>
        </a:gradFill>
        <a:ln w="12700" cmpd="thickThin">
          <a:solidFill>
            <a:schemeClr val="accent1">
              <a:lumMod val="75000"/>
            </a:schemeClr>
          </a:solidFill>
        </a:ln>
        <a:effectLst>
          <a:softEdge rad="419100"/>
        </a:effectLst>
      </c:spPr>
    </c:plotArea>
    <c:plotVisOnly val="1"/>
    <c:dispBlanksAs val="gap"/>
    <c:showDLblsOverMax val="0"/>
  </c:chart>
  <c:spPr>
    <a:solidFill>
      <a:schemeClr val="accent2">
        <a:lumMod val="40000"/>
        <a:lumOff val="60000"/>
      </a:schemeClr>
    </a:solidFill>
    <a:ln w="12700"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46">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effectRef idx="1"/>
    <cs:fontRef idx="minor">
      <a:schemeClr val="dk1"/>
    </cs:fontRef>
    <cs:spPr>
      <a:ln w="9525" cap="flat" cmpd="sng" algn="ctr">
        <a:solidFill>
          <a:schemeClr val="phClr">
            <a:alpha val="70000"/>
          </a:schemeClr>
        </a:solidFill>
        <a:prstDash val="sysDot"/>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rnd">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rnd">
        <a:solidFill>
          <a:schemeClr val="dk1">
            <a:lumMod val="65000"/>
            <a:lumOff val="35000"/>
          </a:schemeClr>
        </a:solidFill>
        <a:round/>
      </a:ln>
    </cs:spPr>
  </cs:downBar>
  <cs:dropLine>
    <cs:lnRef idx="0"/>
    <cs:fillRef idx="0"/>
    <cs:effectRef idx="0"/>
    <cs:fontRef idx="minor">
      <a:schemeClr val="dk1"/>
    </cs:fontRef>
    <cs:spPr>
      <a:ln w="9525" cap="rnd">
        <a:solidFill>
          <a:schemeClr val="dk1">
            <a:lumMod val="35000"/>
            <a:lumOff val="65000"/>
          </a:schemeClr>
        </a:solidFill>
        <a:round/>
      </a:ln>
    </cs:spPr>
  </cs:dropLine>
  <cs:errorBar>
    <cs:lnRef idx="0"/>
    <cs:fillRef idx="0"/>
    <cs:effectRef idx="0"/>
    <cs:fontRef idx="minor">
      <a:schemeClr val="dk1"/>
    </cs:fontRef>
    <cs:spPr>
      <a:ln w="9525" cap="rnd">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rnd">
        <a:solidFill>
          <a:schemeClr val="dk1">
            <a:lumMod val="35000"/>
            <a:lumOff val="65000"/>
          </a:schemeClr>
        </a:solidFill>
        <a:round/>
      </a:ln>
    </cs:spPr>
  </cs:hiLoLine>
  <cs:leaderLine>
    <cs:lnRef idx="0"/>
    <cs:fillRef idx="0"/>
    <cs:effectRef idx="0"/>
    <cs:fontRef idx="minor">
      <a:schemeClr val="dk1"/>
    </cs:fontRef>
    <cs:spPr>
      <a:ln w="9525" cap="rnd">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spc="0" baseline="0"/>
  </cs:legend>
  <cs:plotArea>
    <cs:lnRef idx="0"/>
    <cs:fillRef idx="0"/>
    <cs:effectRef idx="0"/>
    <cs:fontRef idx="minor">
      <a:schemeClr val="dk1"/>
    </cs:fontRef>
    <cs:spPr>
      <a:gradFill>
        <a:gsLst>
          <a:gs pos="100000">
            <a:schemeClr val="lt1">
              <a:lumMod val="95000"/>
            </a:schemeClr>
          </a:gs>
          <a:gs pos="0">
            <a:schemeClr val="lt1">
              <a:alpha val="0"/>
            </a:schemeClr>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seriesAxis>
  <cs:seriesLine>
    <cs:lnRef idx="0"/>
    <cs:fillRef idx="0"/>
    <cs:effectRef idx="0"/>
    <cs:fontRef idx="minor">
      <a:schemeClr val="dk1"/>
    </cs:fontRef>
    <cs:spPr>
      <a:ln w="9525" cap="rnd">
        <a:solidFill>
          <a:schemeClr val="dk1">
            <a:lumMod val="35000"/>
            <a:lumOff val="65000"/>
          </a:schemeClr>
        </a:solidFill>
        <a:round/>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spPr>
      <a:ln w="9525" cap="rnd">
        <a:solidFill>
          <a:schemeClr val="dk1">
            <a:lumMod val="25000"/>
            <a:lumOff val="75000"/>
          </a:schemeClr>
        </a:solidFill>
        <a:round/>
      </a:ln>
    </cs:spPr>
    <cs:defRPr sz="900" kern="1200" spc="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1.xml"/><Relationship Id="rId5" Type="http://schemas.openxmlformats.org/officeDocument/2006/relationships/image" Target="file:///\\Abeltran\publico\Logo%20completo.gif"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281745</xdr:colOff>
      <xdr:row>68</xdr:row>
      <xdr:rowOff>25950</xdr:rowOff>
    </xdr:from>
    <xdr:ext cx="2025739" cy="353766"/>
    <mc:AlternateContent xmlns:mc="http://schemas.openxmlformats.org/markup-compatibility/2006" xmlns:a14="http://schemas.microsoft.com/office/drawing/2010/main">
      <mc:Choice Requires="a14">
        <xdr:sp macro="" textlink="">
          <xdr:nvSpPr>
            <xdr:cNvPr id="2" name="CuadroTexto 1"/>
            <xdr:cNvSpPr txBox="1"/>
          </xdr:nvSpPr>
          <xdr:spPr>
            <a:xfrm>
              <a:off x="2377245" y="25634593"/>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sub>
                    </m:sSub>
                    <m:r>
                      <a:rPr lang="es-ES"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 </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𝑖</m:t>
                                </m:r>
                              </m:sub>
                            </m:sSub>
                            <m:r>
                              <a:rPr lang="es-ES" sz="1050" i="1">
                                <a:solidFill>
                                  <a:schemeClr val="tx1"/>
                                </a:solidFill>
                                <a:effectLst/>
                                <a:latin typeface="Cambria Math" panose="02040503050406030204" pitchFamily="18" charset="0"/>
                                <a:ea typeface="+mn-ea"/>
                                <a:cs typeface="+mn-cs"/>
                              </a:rPr>
                              <m:t>|</m:t>
                            </m:r>
                          </m:e>
                          <m:sub>
                            <m:r>
                              <a:rPr lang="es-ES" sz="1050" i="1">
                                <a:solidFill>
                                  <a:schemeClr val="tx1"/>
                                </a:solidFill>
                                <a:effectLst/>
                                <a:latin typeface="Cambria Math" panose="02040503050406030204" pitchFamily="18" charset="0"/>
                                <a:ea typeface="+mn-ea"/>
                                <a:cs typeface="+mn-cs"/>
                              </a:rPr>
                              <m:t>𝑚𝑎𝑥</m:t>
                            </m:r>
                          </m:sub>
                        </m:sSub>
                      </m:num>
                      <m:den>
                        <m:r>
                          <a:rPr lang="es-ES" sz="1050" i="1">
                            <a:solidFill>
                              <a:schemeClr val="tx1"/>
                            </a:solidFill>
                            <a:effectLst/>
                            <a:latin typeface="Cambria Math" panose="02040503050406030204" pitchFamily="18" charset="0"/>
                            <a:ea typeface="+mn-ea"/>
                            <a:cs typeface="+mn-cs"/>
                          </a:rPr>
                          <m:t>(</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2</m:t>
                            </m:r>
                            <m:r>
                              <a:rPr lang="es-ES" sz="1050" i="1">
                                <a:solidFill>
                                  <a:schemeClr val="tx1"/>
                                </a:solidFill>
                                <a:effectLst/>
                                <a:latin typeface="Cambria Math" panose="02040503050406030204" pitchFamily="18" charset="0"/>
                                <a:ea typeface="+mn-ea"/>
                                <a:cs typeface="+mn-cs"/>
                              </a:rPr>
                              <m:t>𝐿</m:t>
                            </m:r>
                          </m:e>
                          <m:sub>
                            <m:r>
                              <a:rPr lang="es-ES" sz="1050" i="1">
                                <a:solidFill>
                                  <a:schemeClr val="tx1"/>
                                </a:solidFill>
                                <a:effectLst/>
                                <a:latin typeface="Cambria Math" panose="02040503050406030204" pitchFamily="18" charset="0"/>
                                <a:ea typeface="+mn-ea"/>
                                <a:cs typeface="+mn-cs"/>
                              </a:rPr>
                              <m:t>𝑒𝑐𝑐</m:t>
                            </m:r>
                            <m:rad>
                              <m:radPr>
                                <m:degHide m:val="on"/>
                                <m:ctrlPr>
                                  <a:rPr lang="es-CO" sz="1050" i="1">
                                    <a:solidFill>
                                      <a:schemeClr val="tx1"/>
                                    </a:solidFill>
                                    <a:effectLst/>
                                    <a:latin typeface="Cambria Math" panose="02040503050406030204" pitchFamily="18" charset="0"/>
                                    <a:ea typeface="+mn-ea"/>
                                    <a:cs typeface="+mn-cs"/>
                                  </a:rPr>
                                </m:ctrlPr>
                              </m:radPr>
                              <m:deg/>
                              <m:e>
                                <m:r>
                                  <a:rPr lang="es-ES" sz="1050" i="1">
                                    <a:solidFill>
                                      <a:schemeClr val="tx1"/>
                                    </a:solidFill>
                                    <a:effectLst/>
                                    <a:latin typeface="Cambria Math" panose="02040503050406030204" pitchFamily="18" charset="0"/>
                                    <a:ea typeface="+mn-ea"/>
                                    <a:cs typeface="+mn-cs"/>
                                  </a:rPr>
                                  <m:t>3</m:t>
                                </m:r>
                              </m:e>
                            </m:rad>
                          </m:sub>
                        </m:sSub>
                        <m:r>
                          <a:rPr lang="es-CO" sz="1050" b="0" i="1">
                            <a:solidFill>
                              <a:schemeClr val="tx1"/>
                            </a:solidFill>
                            <a:effectLst/>
                            <a:latin typeface="Cambria Math" panose="02040503050406030204" pitchFamily="18" charset="0"/>
                            <a:ea typeface="+mn-ea"/>
                            <a:cs typeface="+mn-cs"/>
                          </a:rPr>
                          <m:t>)</m:t>
                        </m:r>
                      </m:den>
                    </m:f>
                  </m:oMath>
                </m:oMathPara>
              </a14:m>
              <a:endParaRPr lang="es-CO" sz="1000" b="1"/>
            </a:p>
          </xdr:txBody>
        </xdr:sp>
      </mc:Choice>
      <mc:Fallback xmlns="">
        <xdr:sp macro="" textlink="">
          <xdr:nvSpPr>
            <xdr:cNvPr id="2" name="CuadroTexto 1"/>
            <xdr:cNvSpPr txBox="1"/>
          </xdr:nvSpPr>
          <xdr:spPr>
            <a:xfrm>
              <a:off x="2377245" y="25634593"/>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𝑒𝑐𝑐.𝑖</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𝑚𝑎𝑥</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2𝐿</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3</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a:t>
              </a:r>
              <a:endParaRPr lang="es-CO" sz="1000" b="1"/>
            </a:p>
          </xdr:txBody>
        </xdr:sp>
      </mc:Fallback>
    </mc:AlternateContent>
    <xdr:clientData/>
  </xdr:oneCellAnchor>
  <xdr:oneCellAnchor>
    <xdr:from>
      <xdr:col>10</xdr:col>
      <xdr:colOff>379344</xdr:colOff>
      <xdr:row>76</xdr:row>
      <xdr:rowOff>192983</xdr:rowOff>
    </xdr:from>
    <xdr:ext cx="65" cy="172227"/>
    <xdr:sp macro="" textlink="">
      <xdr:nvSpPr>
        <xdr:cNvPr id="3" name="CuadroTexto 2"/>
        <xdr:cNvSpPr txBox="1"/>
      </xdr:nvSpPr>
      <xdr:spPr>
        <a:xfrm>
          <a:off x="13714344" y="320541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1</xdr:col>
      <xdr:colOff>256442</xdr:colOff>
      <xdr:row>57</xdr:row>
      <xdr:rowOff>117231</xdr:rowOff>
    </xdr:from>
    <xdr:ext cx="65" cy="172227"/>
    <xdr:sp macro="" textlink="">
      <xdr:nvSpPr>
        <xdr:cNvPr id="4" name="CuadroTexto 3"/>
        <xdr:cNvSpPr txBox="1"/>
      </xdr:nvSpPr>
      <xdr:spPr>
        <a:xfrm>
          <a:off x="1142267" y="2500605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solidFill>
              <a:sysClr val="windowText" lastClr="000000"/>
            </a:solidFill>
          </a:endParaRPr>
        </a:p>
      </xdr:txBody>
    </xdr:sp>
    <xdr:clientData/>
  </xdr:oneCellAnchor>
  <xdr:oneCellAnchor>
    <xdr:from>
      <xdr:col>1</xdr:col>
      <xdr:colOff>304800</xdr:colOff>
      <xdr:row>56</xdr:row>
      <xdr:rowOff>95983</xdr:rowOff>
    </xdr:from>
    <xdr:ext cx="65" cy="172227"/>
    <xdr:sp macro="" textlink="">
      <xdr:nvSpPr>
        <xdr:cNvPr id="5" name="CuadroTexto 4"/>
        <xdr:cNvSpPr txBox="1"/>
      </xdr:nvSpPr>
      <xdr:spPr>
        <a:xfrm>
          <a:off x="1190625" y="221844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36370</xdr:colOff>
      <xdr:row>36</xdr:row>
      <xdr:rowOff>2596</xdr:rowOff>
    </xdr:from>
    <xdr:ext cx="796052" cy="210507"/>
    <mc:AlternateContent xmlns:mc="http://schemas.openxmlformats.org/markup-compatibility/2006" xmlns:a14="http://schemas.microsoft.com/office/drawing/2010/main">
      <mc:Choice Requires="a14">
        <xdr:sp macro="" textlink="">
          <xdr:nvSpPr>
            <xdr:cNvPr id="6" name="CuadroTexto 5"/>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rPr>
                    <m:t> </m:t>
                  </m:r>
                  <m:sSub>
                    <m:sSubPr>
                      <m:ctrlPr>
                        <a:rPr lang="es-CO" sz="1400" b="1" i="1">
                          <a:latin typeface="Cambria Math" panose="02040503050406030204" pitchFamily="18" charset="0"/>
                        </a:rPr>
                      </m:ctrlPr>
                    </m:sSubPr>
                    <m:e>
                      <m:d>
                        <m:dPr>
                          <m:begChr m:val="|"/>
                          <m:endChr m:val="|"/>
                          <m:ctrlPr>
                            <a:rPr lang="es-CO" sz="1200" b="1" i="1">
                              <a:solidFill>
                                <a:schemeClr val="tx1"/>
                              </a:solidFill>
                              <a:effectLst/>
                              <a:latin typeface="Cambria Math" panose="02040503050406030204" pitchFamily="18" charset="0"/>
                              <a:ea typeface="+mn-ea"/>
                              <a:cs typeface="+mn-cs"/>
                            </a:rPr>
                          </m:ctrlPr>
                        </m:dPr>
                        <m:e>
                          <m:sSub>
                            <m:sSubPr>
                              <m:ctrlPr>
                                <a:rPr lang="es-CO" sz="1200" b="1" i="1">
                                  <a:solidFill>
                                    <a:schemeClr val="tx1"/>
                                  </a:solidFill>
                                  <a:effectLst/>
                                  <a:latin typeface="Cambria Math" panose="02040503050406030204" pitchFamily="18" charset="0"/>
                                  <a:ea typeface="+mn-ea"/>
                                  <a:cs typeface="+mn-cs"/>
                                </a:rPr>
                              </m:ctrlPr>
                            </m:sSubPr>
                            <m:e>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𝑰</m:t>
                              </m:r>
                            </m:e>
                            <m:sub>
                              <m:r>
                                <a:rPr lang="es-CO" sz="1200" b="1" i="1">
                                  <a:solidFill>
                                    <a:schemeClr val="tx1"/>
                                  </a:solidFill>
                                  <a:effectLst/>
                                  <a:latin typeface="Cambria Math" panose="02040503050406030204" pitchFamily="18" charset="0"/>
                                  <a:ea typeface="+mn-ea"/>
                                  <a:cs typeface="+mn-cs"/>
                                </a:rPr>
                                <m:t>𝒆𝒄𝒄</m:t>
                              </m:r>
                            </m:sub>
                          </m:sSub>
                        </m:e>
                      </m:d>
                    </m:e>
                    <m:sub>
                      <m:r>
                        <a:rPr lang="es-CO" sz="1400" b="1" i="1">
                          <a:latin typeface="Cambria Math" panose="02040503050406030204" pitchFamily="18" charset="0"/>
                        </a:rPr>
                        <m:t>𝒎𝒂𝒙</m:t>
                      </m:r>
                    </m:sub>
                  </m:sSub>
                </m:oMath>
              </a14:m>
              <a:r>
                <a:rPr lang="es-CO" sz="1100" b="1" i="1"/>
                <a:t> </a:t>
              </a:r>
            </a:p>
          </xdr:txBody>
        </xdr:sp>
      </mc:Choice>
      <mc:Fallback xmlns="">
        <xdr:sp macro="" textlink="">
          <xdr:nvSpPr>
            <xdr:cNvPr id="6" name="CuadroTexto 5"/>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rPr>
                <a:t> </a:t>
              </a:r>
              <a:r>
                <a:rPr lang="es-CO" sz="1200" b="1" i="0">
                  <a:solidFill>
                    <a:schemeClr val="tx1"/>
                  </a:solidFill>
                  <a:effectLst/>
                  <a:latin typeface="Cambria Math" panose="02040503050406030204" pitchFamily="18" charset="0"/>
                  <a:ea typeface="+mn-ea"/>
                  <a:cs typeface="+mn-cs"/>
                </a:rPr>
                <a:t>|〖∆𝑰〗_𝒆𝒄𝒄 |</a:t>
              </a:r>
              <a:r>
                <a:rPr lang="es-CO" sz="1400" b="1" i="0">
                  <a:solidFill>
                    <a:schemeClr val="tx1"/>
                  </a:solidFill>
                  <a:effectLst/>
                  <a:latin typeface="Cambria Math" panose="02040503050406030204" pitchFamily="18" charset="0"/>
                  <a:ea typeface="+mn-ea"/>
                  <a:cs typeface="+mn-cs"/>
                </a:rPr>
                <a:t>_</a:t>
              </a:r>
              <a:r>
                <a:rPr lang="es-CO" sz="1400" b="1" i="0">
                  <a:latin typeface="Cambria Math" panose="02040503050406030204" pitchFamily="18" charset="0"/>
                </a:rPr>
                <a:t>𝒎𝒂𝒙</a:t>
              </a:r>
              <a:r>
                <a:rPr lang="es-CO" sz="1100" b="1" i="1"/>
                <a:t> </a:t>
              </a:r>
            </a:p>
          </xdr:txBody>
        </xdr:sp>
      </mc:Fallback>
    </mc:AlternateContent>
    <xdr:clientData/>
  </xdr:oneCellAnchor>
  <xdr:oneCellAnchor>
    <xdr:from>
      <xdr:col>2</xdr:col>
      <xdr:colOff>272761</xdr:colOff>
      <xdr:row>71</xdr:row>
      <xdr:rowOff>19050</xdr:rowOff>
    </xdr:from>
    <xdr:ext cx="2314575" cy="361949"/>
    <mc:AlternateContent xmlns:mc="http://schemas.openxmlformats.org/markup-compatibility/2006" xmlns:a14="http://schemas.microsoft.com/office/drawing/2010/main">
      <mc:Choice Requires="a14">
        <xdr:sp macro="" textlink="">
          <xdr:nvSpPr>
            <xdr:cNvPr id="7" name="CuadroTexto 6"/>
            <xdr:cNvSpPr txBox="1"/>
          </xdr:nvSpPr>
          <xdr:spPr>
            <a:xfrm>
              <a:off x="2177761" y="25527000"/>
              <a:ext cx="2314575"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b="1" i="1">
                            <a:solidFill>
                              <a:schemeClr val="tx1"/>
                            </a:solidFill>
                            <a:effectLst/>
                            <a:latin typeface="Cambria Math" panose="02040503050406030204" pitchFamily="18" charset="0"/>
                            <a:ea typeface="+mn-ea"/>
                            <a:cs typeface="+mn-cs"/>
                          </a:rPr>
                        </m:ctrlPr>
                      </m:sSupPr>
                      <m:e>
                        <m:r>
                          <a:rPr lang="es-CO" sz="1100" b="1" i="1">
                            <a:solidFill>
                              <a:schemeClr val="tx1"/>
                            </a:solidFill>
                            <a:effectLst/>
                            <a:latin typeface="Cambria Math" panose="02040503050406030204" pitchFamily="18" charset="0"/>
                            <a:ea typeface="+mn-ea"/>
                            <a:cs typeface="+mn-cs"/>
                          </a:rPr>
                          <m:t>𝒖</m:t>
                        </m:r>
                      </m:e>
                      <m:sup>
                        <m:r>
                          <a:rPr lang="es-CO" sz="1100" b="1" i="1">
                            <a:solidFill>
                              <a:schemeClr val="tx1"/>
                            </a:solidFill>
                            <a:effectLst/>
                            <a:latin typeface="Cambria Math" panose="02040503050406030204" pitchFamily="18" charset="0"/>
                            <a:ea typeface="+mn-ea"/>
                            <a:cs typeface="+mn-cs"/>
                          </a:rPr>
                          <m:t>𝟐</m:t>
                        </m:r>
                      </m:sup>
                    </m:sSup>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𝑰</m:t>
                        </m:r>
                      </m:e>
                    </m:d>
                    <m:r>
                      <a:rPr lang="es-CO" sz="1100" b="1"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𝑑</m:t>
                            </m:r>
                          </m:e>
                          <m:sup>
                            <m:r>
                              <a:rPr lang="es-CO" sz="1100" i="1">
                                <a:solidFill>
                                  <a:schemeClr val="tx1"/>
                                </a:solidFill>
                                <a:effectLst/>
                                <a:latin typeface="Cambria Math" panose="02040503050406030204" pitchFamily="18" charset="0"/>
                                <a:ea typeface="+mn-ea"/>
                                <a:cs typeface="+mn-cs"/>
                              </a:rPr>
                              <m:t>2</m:t>
                            </m:r>
                          </m:sup>
                        </m:sSup>
                      </m:num>
                      <m:den>
                        <m:r>
                          <a:rPr lang="es-CO" sz="1100" i="1">
                            <a:solidFill>
                              <a:schemeClr val="tx1"/>
                            </a:solidFill>
                            <a:effectLst/>
                            <a:latin typeface="Cambria Math" panose="02040503050406030204" pitchFamily="18" charset="0"/>
                            <a:ea typeface="+mn-ea"/>
                            <a:cs typeface="+mn-cs"/>
                          </a:rPr>
                          <m:t>6</m:t>
                        </m:r>
                      </m:den>
                    </m:f>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𝑠</m:t>
                        </m:r>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panose="02040503050406030204" pitchFamily="18" charset="0"/>
                            <a:ea typeface="+mn-ea"/>
                            <a:cs typeface="+mn-cs"/>
                          </a:rPr>
                        </m:ctrlPr>
                      </m:dPr>
                      <m:e>
                        <m:r>
                          <a:rPr lang="es-CO" sz="1100" i="1">
                            <a:solidFill>
                              <a:schemeClr val="tx1"/>
                            </a:solidFill>
                            <a:effectLst/>
                            <a:latin typeface="Cambria Math" panose="02040503050406030204" pitchFamily="18" charset="0"/>
                            <a:ea typeface="+mn-ea"/>
                            <a:cs typeface="+mn-cs"/>
                          </a:rPr>
                          <m:t>𝐼</m:t>
                        </m:r>
                      </m:e>
                    </m:d>
                    <m:r>
                      <a:rPr lang="es-CO" sz="1100" i="1">
                        <a:solidFill>
                          <a:schemeClr val="tx1"/>
                        </a:solidFill>
                        <a:effectLst/>
                        <a:latin typeface="Cambria Math" panose="02040503050406030204" pitchFamily="18" charset="0"/>
                        <a:ea typeface="+mn-ea"/>
                        <a:cs typeface="+mn-cs"/>
                      </a:rPr>
                      <m:t>+ </m:t>
                    </m:r>
                    <m:sSup>
                      <m:sSupPr>
                        <m:ctrlPr>
                          <a:rPr lang="es-CO" sz="1100" i="1">
                            <a:solidFill>
                              <a:schemeClr val="tx1"/>
                            </a:solidFill>
                            <a:effectLst/>
                            <a:latin typeface="Cambria Math" panose="02040503050406030204" pitchFamily="18" charset="0"/>
                            <a:ea typeface="+mn-ea"/>
                            <a:cs typeface="+mn-cs"/>
                          </a:rPr>
                        </m:ctrlPr>
                      </m:sSupPr>
                      <m:e>
                        <m:acc>
                          <m:accPr>
                            <m:chr m:val="̂"/>
                            <m:ctrlPr>
                              <a:rPr lang="es-CO" sz="1100" i="1">
                                <a:solidFill>
                                  <a:schemeClr val="tx1"/>
                                </a:solidFill>
                                <a:effectLst/>
                                <a:latin typeface="Cambria Math" panose="02040503050406030204" pitchFamily="18" charset="0"/>
                                <a:ea typeface="+mn-ea"/>
                                <a:cs typeface="+mn-cs"/>
                              </a:rPr>
                            </m:ctrlPr>
                          </m:accPr>
                          <m:e>
                            <m:r>
                              <a:rPr lang="es-CO" sz="1100" i="1">
                                <a:solidFill>
                                  <a:schemeClr val="tx1"/>
                                </a:solidFill>
                                <a:effectLst/>
                                <a:latin typeface="Cambria Math" panose="02040503050406030204" pitchFamily="18" charset="0"/>
                                <a:ea typeface="+mn-ea"/>
                                <a:cs typeface="+mn-cs"/>
                              </a:rPr>
                              <m:t>𝑤</m:t>
                            </m:r>
                          </m:e>
                        </m:acc>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panose="02040503050406030204" pitchFamily="18" charset="0"/>
                            <a:ea typeface="+mn-ea"/>
                            <a:cs typeface="+mn-cs"/>
                          </a:rPr>
                        </m:ctrlPr>
                      </m:dPr>
                      <m:e>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𝐼</m:t>
                            </m:r>
                          </m:e>
                          <m:sub>
                            <m:r>
                              <a:rPr lang="es-CO" sz="1100" i="1">
                                <a:solidFill>
                                  <a:schemeClr val="tx1"/>
                                </a:solidFill>
                                <a:effectLst/>
                                <a:latin typeface="Cambria Math" panose="02040503050406030204" pitchFamily="18" charset="0"/>
                                <a:ea typeface="+mn-ea"/>
                                <a:cs typeface="+mn-cs"/>
                              </a:rPr>
                              <m:t>𝑒𝑐𝑐</m:t>
                            </m:r>
                          </m:sub>
                        </m:sSub>
                      </m:e>
                    </m:d>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𝐼</m:t>
                        </m:r>
                      </m:e>
                      <m:sup>
                        <m:r>
                          <a:rPr lang="es-CO" sz="1100" i="1">
                            <a:solidFill>
                              <a:schemeClr val="tx1"/>
                            </a:solidFill>
                            <a:effectLst/>
                            <a:latin typeface="Cambria Math" panose="02040503050406030204" pitchFamily="18" charset="0"/>
                            <a:ea typeface="+mn-ea"/>
                            <a:cs typeface="+mn-cs"/>
                          </a:rPr>
                          <m:t>2</m:t>
                        </m:r>
                      </m:sup>
                    </m:sSup>
                  </m:oMath>
                </m:oMathPara>
              </a14:m>
              <a:endParaRPr lang="es-CO" sz="1100">
                <a:solidFill>
                  <a:schemeClr val="tx1"/>
                </a:solidFill>
                <a:effectLst/>
                <a:latin typeface="+mn-lt"/>
                <a:ea typeface="+mn-ea"/>
                <a:cs typeface="+mn-cs"/>
              </a:endParaRPr>
            </a:p>
            <a:p>
              <a:pPr algn="ctr"/>
              <a:endParaRPr lang="es-CO" sz="1000" b="1"/>
            </a:p>
          </xdr:txBody>
        </xdr:sp>
      </mc:Choice>
      <mc:Fallback xmlns="">
        <xdr:sp macro="" textlink="">
          <xdr:nvSpPr>
            <xdr:cNvPr id="7" name="CuadroTexto 6"/>
            <xdr:cNvSpPr txBox="1"/>
          </xdr:nvSpPr>
          <xdr:spPr>
            <a:xfrm>
              <a:off x="2177761" y="25527000"/>
              <a:ext cx="2314575"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𝒖^𝟐 (𝑰)=</a:t>
              </a:r>
              <a:r>
                <a:rPr lang="es-CO" sz="1100" i="0">
                  <a:solidFill>
                    <a:schemeClr val="tx1"/>
                  </a:solidFill>
                  <a:effectLst/>
                  <a:latin typeface="Cambria Math" panose="02040503050406030204" pitchFamily="18" charset="0"/>
                  <a:ea typeface="+mn-ea"/>
                  <a:cs typeface="+mn-cs"/>
                </a:rPr>
                <a:t>𝑑^2/6+𝑠^2 (𝐼)+ 𝑤 ̂^2 (𝛿𝐼_𝑒𝑐𝑐 ) 𝐼^2</a:t>
              </a:r>
              <a:endParaRPr lang="es-CO" sz="1100">
                <a:solidFill>
                  <a:schemeClr val="tx1"/>
                </a:solidFill>
                <a:effectLst/>
                <a:latin typeface="+mn-lt"/>
                <a:ea typeface="+mn-ea"/>
                <a:cs typeface="+mn-cs"/>
              </a:endParaRPr>
            </a:p>
            <a:p>
              <a:pPr algn="ctr"/>
              <a:endParaRPr lang="es-CO" sz="1000" b="1"/>
            </a:p>
          </xdr:txBody>
        </xdr:sp>
      </mc:Fallback>
    </mc:AlternateContent>
    <xdr:clientData/>
  </xdr:oneCellAnchor>
  <xdr:oneCellAnchor>
    <xdr:from>
      <xdr:col>2</xdr:col>
      <xdr:colOff>334242</xdr:colOff>
      <xdr:row>70</xdr:row>
      <xdr:rowOff>37234</xdr:rowOff>
    </xdr:from>
    <xdr:ext cx="1962150" cy="361949"/>
    <mc:AlternateContent xmlns:mc="http://schemas.openxmlformats.org/markup-compatibility/2006" xmlns:a14="http://schemas.microsoft.com/office/drawing/2010/main">
      <mc:Choice Requires="a14">
        <xdr:sp macro="" textlink="">
          <xdr:nvSpPr>
            <xdr:cNvPr id="8" name="CuadroTexto 7"/>
            <xdr:cNvSpPr txBox="1"/>
          </xdr:nvSpPr>
          <xdr:spPr>
            <a:xfrm>
              <a:off x="2239242" y="2514513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panose="02040503050406030204" pitchFamily="18" charset="0"/>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panose="02040503050406030204" pitchFamily="18" charset="0"/>
                            <a:ea typeface="+mn-ea"/>
                            <a:cs typeface="+mn-cs"/>
                          </a:rPr>
                        </m:ctrlPr>
                      </m:dPr>
                      <m:e>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𝑑</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2 </m:t>
                        </m:r>
                      </m:e>
                    </m:ra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6</m:t>
                        </m:r>
                      </m:e>
                    </m:rad>
                  </m:oMath>
                </m:oMathPara>
              </a14:m>
              <a:endParaRPr lang="es-CO" sz="1100">
                <a:solidFill>
                  <a:schemeClr val="tx1"/>
                </a:solidFill>
                <a:effectLst/>
                <a:latin typeface="+mn-lt"/>
                <a:ea typeface="+mn-ea"/>
                <a:cs typeface="+mn-cs"/>
              </a:endParaRPr>
            </a:p>
          </xdr:txBody>
        </xdr:sp>
      </mc:Choice>
      <mc:Fallback xmlns="">
        <xdr:sp macro="" textlink="">
          <xdr:nvSpPr>
            <xdr:cNvPr id="8" name="CuadroTexto 7"/>
            <xdr:cNvSpPr txBox="1"/>
          </xdr:nvSpPr>
          <xdr:spPr>
            <a:xfrm>
              <a:off x="2239242" y="2514513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𝑑𝑖𝑔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6</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420832</xdr:colOff>
      <xdr:row>69</xdr:row>
      <xdr:rowOff>95250</xdr:rowOff>
    </xdr:from>
    <xdr:ext cx="1304925" cy="295275"/>
    <mc:AlternateContent xmlns:mc="http://schemas.openxmlformats.org/markup-compatibility/2006" xmlns:a14="http://schemas.microsoft.com/office/drawing/2010/main">
      <mc:Choice Requires="a14">
        <xdr:sp macro="" textlink="">
          <xdr:nvSpPr>
            <xdr:cNvPr id="9" name="CuadroTexto 8"/>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𝑢</m:t>
                        </m:r>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𝑟𝑒𝑝</m:t>
                        </m:r>
                      </m:sub>
                    </m:sSub>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𝑠</m:t>
                    </m:r>
                    <m:r>
                      <a:rPr lang="es-ES" sz="1100">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𝑗</m:t>
                        </m:r>
                      </m:sub>
                    </m:sSub>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𝑛</m:t>
                        </m:r>
                      </m:e>
                    </m:rad>
                  </m:oMath>
                </m:oMathPara>
              </a14:m>
              <a:endParaRPr lang="es-CO" sz="1100">
                <a:solidFill>
                  <a:schemeClr val="tx1"/>
                </a:solidFill>
                <a:effectLst/>
                <a:latin typeface="+mn-lt"/>
                <a:ea typeface="+mn-ea"/>
                <a:cs typeface="+mn-cs"/>
              </a:endParaRPr>
            </a:p>
          </xdr:txBody>
        </xdr:sp>
      </mc:Choice>
      <mc:Fallback xmlns="">
        <xdr:sp macro="" textlink="">
          <xdr:nvSpPr>
            <xdr:cNvPr id="9" name="CuadroTexto 8"/>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𝑢(𝛿𝐼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𝑟𝑒𝑝)=𝑠(𝐼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𝑗)⁄</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𝑛</a:t>
              </a:r>
              <a:endParaRPr lang="es-CO" sz="1100">
                <a:solidFill>
                  <a:schemeClr val="tx1"/>
                </a:solidFill>
                <a:effectLst/>
                <a:latin typeface="+mn-lt"/>
                <a:ea typeface="+mn-ea"/>
                <a:cs typeface="+mn-cs"/>
              </a:endParaRPr>
            </a:p>
          </xdr:txBody>
        </xdr:sp>
      </mc:Fallback>
    </mc:AlternateContent>
    <xdr:clientData/>
  </xdr:oneCellAnchor>
  <xdr:oneCellAnchor>
    <xdr:from>
      <xdr:col>2</xdr:col>
      <xdr:colOff>367516</xdr:colOff>
      <xdr:row>76</xdr:row>
      <xdr:rowOff>91540</xdr:rowOff>
    </xdr:from>
    <xdr:ext cx="2714625" cy="247650"/>
    <mc:AlternateContent xmlns:mc="http://schemas.openxmlformats.org/markup-compatibility/2006" xmlns:a14="http://schemas.microsoft.com/office/drawing/2010/main">
      <mc:Choice Requires="a14">
        <xdr:sp macro="" textlink="">
          <xdr:nvSpPr>
            <xdr:cNvPr id="10" name="CuadroTexto 9"/>
            <xdr:cNvSpPr txBox="1"/>
          </xdr:nvSpPr>
          <xdr:spPr>
            <a:xfrm>
              <a:off x="2463016" y="29183611"/>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𝑟𝑒𝑓</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𝐵</m:t>
                        </m:r>
                      </m:sub>
                    </m:sSub>
                    <m:r>
                      <a:rPr lang="es-CO" sz="1100" b="1"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10" name="CuadroTexto 9"/>
            <xdr:cNvSpPr txBox="1"/>
          </xdr:nvSpPr>
          <xdr:spPr>
            <a:xfrm>
              <a:off x="2463016" y="29183611"/>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0" i="0">
                  <a:solidFill>
                    <a:schemeClr val="tx1"/>
                  </a:solidFill>
                  <a:effectLst/>
                  <a:latin typeface="Cambria Math" panose="02040503050406030204" pitchFamily="18" charset="0"/>
                  <a:ea typeface="+mn-ea"/>
                  <a:cs typeface="+mn-cs"/>
                </a:rPr>
                <a:t>𝑢^2 〖(𝑚〗_𝑟𝑒𝑓)</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𝛿𝑚_𝑐</a:t>
              </a:r>
              <a:r>
                <a:rPr lang="es-CO" sz="1100" b="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𝛿𝑚_𝐵</a:t>
              </a:r>
              <a:r>
                <a:rPr lang="es-CO" sz="1100" b="1"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𝛿𝑚_𝐷</a:t>
              </a:r>
              <a:r>
                <a:rPr lang="es-CO" sz="1100" b="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3</xdr:col>
      <xdr:colOff>77437</xdr:colOff>
      <xdr:row>73</xdr:row>
      <xdr:rowOff>65314</xdr:rowOff>
    </xdr:from>
    <xdr:ext cx="1304925" cy="295275"/>
    <mc:AlternateContent xmlns:mc="http://schemas.openxmlformats.org/markup-compatibility/2006" xmlns:a14="http://schemas.microsoft.com/office/drawing/2010/main">
      <mc:Choice Requires="a14">
        <xdr:sp macro="" textlink="">
          <xdr:nvSpPr>
            <xdr:cNvPr id="11" name="CuadroTexto 10"/>
            <xdr:cNvSpPr txBox="1"/>
          </xdr:nvSpPr>
          <xdr:spPr>
            <a:xfrm>
              <a:off x="3220687" y="27851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𝑐</m:t>
                        </m:r>
                      </m:sub>
                    </m:sSub>
                    <m:r>
                      <a:rPr lang="es-ES" sz="1100" i="1">
                        <a:solidFill>
                          <a:schemeClr val="tx1"/>
                        </a:solidFill>
                        <a:effectLst/>
                        <a:latin typeface="Cambria Math" panose="02040503050406030204" pitchFamily="18" charset="0"/>
                        <a:ea typeface="+mn-ea"/>
                        <a:cs typeface="+mn-cs"/>
                      </a:rPr>
                      <m:t> )=</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𝐾</m:t>
                    </m:r>
                  </m:oMath>
                </m:oMathPara>
              </a14:m>
              <a:endParaRPr lang="es-CO" sz="1100">
                <a:solidFill>
                  <a:schemeClr val="tx1"/>
                </a:solidFill>
                <a:effectLst/>
                <a:latin typeface="+mn-lt"/>
                <a:ea typeface="+mn-ea"/>
                <a:cs typeface="+mn-cs"/>
              </a:endParaRPr>
            </a:p>
          </xdr:txBody>
        </xdr:sp>
      </mc:Choice>
      <mc:Fallback xmlns="">
        <xdr:sp macro="" textlink="">
          <xdr:nvSpPr>
            <xdr:cNvPr id="11" name="CuadroTexto 10"/>
            <xdr:cNvSpPr txBox="1"/>
          </xdr:nvSpPr>
          <xdr:spPr>
            <a:xfrm>
              <a:off x="3220687" y="27851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𝑐  )=𝑈/𝐾</a:t>
              </a:r>
              <a:endParaRPr lang="es-CO" sz="1100">
                <a:solidFill>
                  <a:schemeClr val="tx1"/>
                </a:solidFill>
                <a:effectLst/>
                <a:latin typeface="+mn-lt"/>
                <a:ea typeface="+mn-ea"/>
                <a:cs typeface="+mn-cs"/>
              </a:endParaRPr>
            </a:p>
          </xdr:txBody>
        </xdr:sp>
      </mc:Fallback>
    </mc:AlternateContent>
    <xdr:clientData/>
  </xdr:oneCellAnchor>
  <xdr:oneCellAnchor>
    <xdr:from>
      <xdr:col>1</xdr:col>
      <xdr:colOff>129268</xdr:colOff>
      <xdr:row>95</xdr:row>
      <xdr:rowOff>81643</xdr:rowOff>
    </xdr:from>
    <xdr:ext cx="4102554" cy="285750"/>
    <mc:AlternateContent xmlns:mc="http://schemas.openxmlformats.org/markup-compatibility/2006" xmlns:a14="http://schemas.microsoft.com/office/drawing/2010/main">
      <mc:Choice Requires="a14">
        <xdr:sp macro="" textlink="">
          <xdr:nvSpPr>
            <xdr:cNvPr id="12" name="CuadroTexto 11"/>
            <xdr:cNvSpPr txBox="1"/>
          </xdr:nvSpPr>
          <xdr:spPr>
            <a:xfrm>
              <a:off x="1177018" y="36943393"/>
              <a:ext cx="4102554"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left"/>
                  </m:oMathParaPr>
                  <m:oMath xmlns:m="http://schemas.openxmlformats.org/officeDocument/2006/math">
                    <m:r>
                      <m:rPr>
                        <m:sty m:val="p"/>
                      </m:rPr>
                      <a:rPr lang="es-CO" sz="1400" b="0" i="0">
                        <a:solidFill>
                          <a:schemeClr val="tx1"/>
                        </a:solidFill>
                        <a:effectLst/>
                        <a:latin typeface="Cambria Math" panose="02040503050406030204" pitchFamily="18" charset="0"/>
                        <a:ea typeface="+mn-ea"/>
                        <a:cs typeface="+mn-cs"/>
                      </a:rPr>
                      <m:t>INVERSA</m:t>
                    </m:r>
                    <m:r>
                      <a:rPr lang="es-CO" sz="1400" b="0" i="0">
                        <a:solidFill>
                          <a:schemeClr val="tx1"/>
                        </a:solidFill>
                        <a:effectLst/>
                        <a:latin typeface="Cambria Math" panose="02040503050406030204" pitchFamily="18" charset="0"/>
                        <a:ea typeface="+mn-ea"/>
                        <a:cs typeface="+mn-cs"/>
                      </a:rPr>
                      <m:t>.</m:t>
                    </m:r>
                    <m:r>
                      <m:rPr>
                        <m:sty m:val="p"/>
                      </m:rPr>
                      <a:rPr lang="es-CO" sz="1400" b="0" i="0">
                        <a:solidFill>
                          <a:schemeClr val="tx1"/>
                        </a:solidFill>
                        <a:effectLst/>
                        <a:latin typeface="Cambria Math" panose="02040503050406030204" pitchFamily="18" charset="0"/>
                        <a:ea typeface="+mn-ea"/>
                        <a:cs typeface="+mn-cs"/>
                      </a:rPr>
                      <m:t>T</m:t>
                    </m:r>
                    <m:r>
                      <a:rPr lang="es-CO" sz="1400" b="0" i="0">
                        <a:solidFill>
                          <a:schemeClr val="tx1"/>
                        </a:solidFill>
                        <a:effectLst/>
                        <a:latin typeface="Cambria Math" panose="02040503050406030204" pitchFamily="18" charset="0"/>
                        <a:ea typeface="+mn-ea"/>
                        <a:cs typeface="+mn-cs"/>
                      </a:rPr>
                      <m:t> </m:t>
                    </m:r>
                    <m:r>
                      <m:rPr>
                        <m:sty m:val="p"/>
                      </m:rPr>
                      <a:rPr lang="es-CO" sz="1400" b="0" i="0">
                        <a:solidFill>
                          <a:schemeClr val="tx1"/>
                        </a:solidFill>
                        <a:effectLst/>
                        <a:latin typeface="Cambria Math" panose="02040503050406030204" pitchFamily="18" charset="0"/>
                        <a:ea typeface="+mn-ea"/>
                        <a:cs typeface="+mn-cs"/>
                      </a:rPr>
                      <m:t>STUDEND</m:t>
                    </m:r>
                    <m:r>
                      <a:rPr lang="es-CO" sz="1400" b="0" i="0">
                        <a:solidFill>
                          <a:schemeClr val="tx1"/>
                        </a:solidFill>
                        <a:effectLst/>
                        <a:latin typeface="Cambria Math" panose="02040503050406030204" pitchFamily="18" charset="0"/>
                        <a:ea typeface="+mn-ea"/>
                        <a:cs typeface="+mn-cs"/>
                      </a:rPr>
                      <m:t>.2</m:t>
                    </m:r>
                    <m:r>
                      <m:rPr>
                        <m:sty m:val="p"/>
                      </m:rPr>
                      <a:rPr lang="es-CO" sz="1400" b="0" i="0">
                        <a:solidFill>
                          <a:schemeClr val="tx1"/>
                        </a:solidFill>
                        <a:effectLst/>
                        <a:latin typeface="Cambria Math" panose="02040503050406030204" pitchFamily="18" charset="0"/>
                        <a:ea typeface="+mn-ea"/>
                        <a:cs typeface="+mn-cs"/>
                      </a:rPr>
                      <m:t>C</m:t>
                    </m:r>
                    <m:r>
                      <a:rPr lang="es-CO" sz="1400" b="0" i="0">
                        <a:solidFill>
                          <a:schemeClr val="tx1"/>
                        </a:solidFill>
                        <a:effectLst/>
                        <a:latin typeface="Cambria Math" panose="02040503050406030204" pitchFamily="18" charset="0"/>
                        <a:ea typeface="+mn-ea"/>
                        <a:cs typeface="+mn-cs"/>
                      </a:rPr>
                      <m:t>(100</m:t>
                    </m:r>
                    <m:r>
                      <a:rPr lang="es-CO" sz="1400" b="0" i="1">
                        <a:solidFill>
                          <a:schemeClr val="tx1"/>
                        </a:solidFill>
                        <a:effectLst/>
                        <a:latin typeface="Cambria Math" panose="02040503050406030204" pitchFamily="18" charset="0"/>
                        <a:ea typeface="+mn-ea"/>
                        <a:cs typeface="+mn-cs"/>
                      </a:rPr>
                      <m:t>%−95,45%  ;</m:t>
                    </m:r>
                    <m:sSub>
                      <m:sSubPr>
                        <m:ctrlPr>
                          <a:rPr lang="es-CO" sz="1400" i="1">
                            <a:solidFill>
                              <a:schemeClr val="tx1"/>
                            </a:solidFill>
                            <a:effectLst/>
                            <a:latin typeface="Cambria Math" panose="02040503050406030204" pitchFamily="18" charset="0"/>
                            <a:ea typeface="+mn-ea"/>
                            <a:cs typeface="+mn-cs"/>
                          </a:rPr>
                        </m:ctrlPr>
                      </m:sSubPr>
                      <m:e>
                        <m:r>
                          <a:rPr lang="es-CO" sz="1400" i="1">
                            <a:solidFill>
                              <a:schemeClr val="tx1"/>
                            </a:solidFill>
                            <a:effectLst/>
                            <a:latin typeface="Cambria Math" panose="02040503050406030204" pitchFamily="18" charset="0"/>
                            <a:ea typeface="+mn-ea"/>
                            <a:cs typeface="+mn-cs"/>
                          </a:rPr>
                          <m:t>𝑣</m:t>
                        </m:r>
                      </m:e>
                      <m:sub>
                        <m:r>
                          <a:rPr lang="es-CO" sz="1400" i="1">
                            <a:solidFill>
                              <a:schemeClr val="tx1"/>
                            </a:solidFill>
                            <a:effectLst/>
                            <a:latin typeface="Cambria Math" panose="02040503050406030204" pitchFamily="18" charset="0"/>
                            <a:ea typeface="+mn-ea"/>
                            <a:cs typeface="+mn-cs"/>
                          </a:rPr>
                          <m:t>𝑒𝑓𝑓</m:t>
                        </m:r>
                        <m:r>
                          <a:rPr lang="es-CO" sz="1400" i="1">
                            <a:solidFill>
                              <a:schemeClr val="tx1"/>
                            </a:solidFill>
                            <a:effectLst/>
                            <a:latin typeface="Cambria Math" panose="02040503050406030204" pitchFamily="18" charset="0"/>
                            <a:ea typeface="+mn-ea"/>
                            <a:cs typeface="+mn-cs"/>
                          </a:rPr>
                          <m:t>(</m:t>
                        </m:r>
                        <m:r>
                          <a:rPr lang="es-CO" sz="1400" i="1">
                            <a:solidFill>
                              <a:schemeClr val="tx1"/>
                            </a:solidFill>
                            <a:effectLst/>
                            <a:latin typeface="Cambria Math" panose="02040503050406030204" pitchFamily="18" charset="0"/>
                            <a:ea typeface="+mn-ea"/>
                            <a:cs typeface="+mn-cs"/>
                          </a:rPr>
                          <m:t>𝐸</m:t>
                        </m:r>
                        <m:r>
                          <a:rPr lang="es-CO" sz="1400" i="1">
                            <a:solidFill>
                              <a:schemeClr val="tx1"/>
                            </a:solidFill>
                            <a:effectLst/>
                            <a:latin typeface="Cambria Math" panose="02040503050406030204" pitchFamily="18" charset="0"/>
                            <a:ea typeface="+mn-ea"/>
                            <a:cs typeface="+mn-cs"/>
                          </a:rPr>
                          <m:t>)</m:t>
                        </m:r>
                      </m:sub>
                    </m:sSub>
                  </m:oMath>
                </m:oMathPara>
              </a14:m>
              <a:endParaRPr lang="es-CO" sz="1200">
                <a:solidFill>
                  <a:schemeClr val="tx1"/>
                </a:solidFill>
                <a:effectLst/>
                <a:latin typeface="+mn-lt"/>
                <a:ea typeface="+mn-ea"/>
                <a:cs typeface="+mn-cs"/>
              </a:endParaRPr>
            </a:p>
          </xdr:txBody>
        </xdr:sp>
      </mc:Choice>
      <mc:Fallback xmlns="">
        <xdr:sp macro="" textlink="">
          <xdr:nvSpPr>
            <xdr:cNvPr id="12" name="CuadroTexto 11"/>
            <xdr:cNvSpPr txBox="1"/>
          </xdr:nvSpPr>
          <xdr:spPr>
            <a:xfrm>
              <a:off x="1177018" y="36943393"/>
              <a:ext cx="4102554"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0" i="0">
                  <a:solidFill>
                    <a:schemeClr val="tx1"/>
                  </a:solidFill>
                  <a:effectLst/>
                  <a:latin typeface="Cambria Math" panose="02040503050406030204" pitchFamily="18" charset="0"/>
                  <a:ea typeface="+mn-ea"/>
                  <a:cs typeface="+mn-cs"/>
                </a:rPr>
                <a:t>INVERSA.T STUDEND.2C(100%−95,45%  ;</a:t>
              </a:r>
              <a:r>
                <a:rPr lang="es-CO" sz="1400" i="0">
                  <a:solidFill>
                    <a:schemeClr val="tx1"/>
                  </a:solidFill>
                  <a:effectLst/>
                  <a:latin typeface="Cambria Math" panose="02040503050406030204" pitchFamily="18" charset="0"/>
                  <a:ea typeface="+mn-ea"/>
                  <a:cs typeface="+mn-cs"/>
                </a:rPr>
                <a:t>𝑣_(𝑒𝑓𝑓(𝐸))</a:t>
              </a:r>
              <a:endParaRPr lang="es-CO" sz="1200">
                <a:solidFill>
                  <a:schemeClr val="tx1"/>
                </a:solidFill>
                <a:effectLst/>
                <a:latin typeface="+mn-lt"/>
                <a:ea typeface="+mn-ea"/>
                <a:cs typeface="+mn-cs"/>
              </a:endParaRPr>
            </a:p>
          </xdr:txBody>
        </xdr:sp>
      </mc:Fallback>
    </mc:AlternateContent>
    <xdr:clientData/>
  </xdr:oneCellAnchor>
  <xdr:oneCellAnchor>
    <xdr:from>
      <xdr:col>2</xdr:col>
      <xdr:colOff>860096</xdr:colOff>
      <xdr:row>74</xdr:row>
      <xdr:rowOff>39832</xdr:rowOff>
    </xdr:from>
    <xdr:ext cx="2238374" cy="323850"/>
    <mc:AlternateContent xmlns:mc="http://schemas.openxmlformats.org/markup-compatibility/2006" xmlns:a14="http://schemas.microsoft.com/office/drawing/2010/main">
      <mc:Choice Requires="a14">
        <xdr:sp macro="" textlink="">
          <xdr:nvSpPr>
            <xdr:cNvPr id="13" name="CuadroTexto 12"/>
            <xdr:cNvSpPr txBox="1"/>
          </xdr:nvSpPr>
          <xdr:spPr>
            <a:xfrm>
              <a:off x="2955596" y="28261046"/>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𝐵</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4</m:t>
                        </m:r>
                        <m:r>
                          <a:rPr lang="es-CO" sz="1100" b="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3</m:t>
                        </m:r>
                        <m:r>
                          <a:rPr lang="es-ES" sz="1100" i="1">
                            <a:solidFill>
                              <a:schemeClr val="tx1"/>
                            </a:solidFill>
                            <a:effectLst/>
                            <a:latin typeface="Cambria Math" panose="02040503050406030204" pitchFamily="18" charset="0"/>
                            <a:ea typeface="+mn-ea"/>
                            <a:cs typeface="+mn-cs"/>
                          </a:rPr>
                          <m:t>𝑈</m:t>
                        </m:r>
                      </m:num>
                      <m:den>
                        <m:r>
                          <a:rPr lang="es-ES" sz="1100" i="1">
                            <a:solidFill>
                              <a:schemeClr val="tx1"/>
                            </a:solidFill>
                            <a:effectLst/>
                            <a:latin typeface="Cambria Math" panose="02040503050406030204" pitchFamily="18" charset="0"/>
                            <a:ea typeface="+mn-ea"/>
                            <a:cs typeface="+mn-cs"/>
                          </a:rPr>
                          <m:t>4∗</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oMath>
                </m:oMathPara>
              </a14:m>
              <a:endParaRPr lang="es-CO" sz="1100">
                <a:solidFill>
                  <a:schemeClr val="tx1"/>
                </a:solidFill>
                <a:effectLst/>
                <a:latin typeface="+mn-lt"/>
                <a:ea typeface="+mn-ea"/>
                <a:cs typeface="+mn-cs"/>
              </a:endParaRPr>
            </a:p>
          </xdr:txBody>
        </xdr:sp>
      </mc:Choice>
      <mc:Fallback xmlns="">
        <xdr:sp macro="" textlink="">
          <xdr:nvSpPr>
            <xdr:cNvPr id="13" name="CuadroTexto 12"/>
            <xdr:cNvSpPr txBox="1"/>
          </xdr:nvSpPr>
          <xdr:spPr>
            <a:xfrm>
              <a:off x="2955596" y="28261046"/>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𝐵  )=𝐸𝑀𝑃</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b="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3</a:t>
              </a:r>
              <a:r>
                <a:rPr lang="es-ES" sz="1100" i="0">
                  <a:solidFill>
                    <a:schemeClr val="tx1"/>
                  </a:solidFill>
                  <a:effectLst/>
                  <a:latin typeface="Cambria Math" panose="02040503050406030204" pitchFamily="18" charset="0"/>
                  <a:ea typeface="+mn-ea"/>
                  <a:cs typeface="+mn-cs"/>
                </a:rPr>
                <a:t>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3</xdr:col>
      <xdr:colOff>70509</xdr:colOff>
      <xdr:row>75</xdr:row>
      <xdr:rowOff>56655</xdr:rowOff>
    </xdr:from>
    <xdr:ext cx="1866900" cy="333375"/>
    <mc:AlternateContent xmlns:mc="http://schemas.openxmlformats.org/markup-compatibility/2006" xmlns:a14="http://schemas.microsoft.com/office/drawing/2010/main">
      <mc:Choice Requires="a14">
        <xdr:sp macro="" textlink="">
          <xdr:nvSpPr>
            <xdr:cNvPr id="14" name="CuadroTexto 13"/>
            <xdr:cNvSpPr txBox="1"/>
          </xdr:nvSpPr>
          <xdr:spPr>
            <a:xfrm>
              <a:off x="3213759" y="28713298"/>
              <a:ext cx="186690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𝐷</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3</m:t>
                        </m:r>
                      </m:den>
                    </m:f>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oMath>
                </m:oMathPara>
              </a14:m>
              <a:endParaRPr lang="es-CO" sz="1100">
                <a:solidFill>
                  <a:schemeClr val="tx1"/>
                </a:solidFill>
                <a:effectLst/>
                <a:latin typeface="+mn-lt"/>
                <a:ea typeface="+mn-ea"/>
                <a:cs typeface="+mn-cs"/>
              </a:endParaRPr>
            </a:p>
          </xdr:txBody>
        </xdr:sp>
      </mc:Choice>
      <mc:Fallback xmlns="">
        <xdr:sp macro="" textlink="">
          <xdr:nvSpPr>
            <xdr:cNvPr id="14" name="CuadroTexto 13"/>
            <xdr:cNvSpPr txBox="1"/>
          </xdr:nvSpPr>
          <xdr:spPr>
            <a:xfrm>
              <a:off x="3213759" y="28713298"/>
              <a:ext cx="186690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𝐷  )=𝐸𝑀𝑃</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endParaRPr lang="es-CO" sz="1100">
                <a:solidFill>
                  <a:schemeClr val="tx1"/>
                </a:solidFill>
                <a:effectLst/>
                <a:latin typeface="+mn-lt"/>
                <a:ea typeface="+mn-ea"/>
                <a:cs typeface="+mn-cs"/>
              </a:endParaRPr>
            </a:p>
          </xdr:txBody>
        </xdr:sp>
      </mc:Fallback>
    </mc:AlternateContent>
    <xdr:clientData/>
  </xdr:oneCellAnchor>
  <xdr:oneCellAnchor>
    <xdr:from>
      <xdr:col>2</xdr:col>
      <xdr:colOff>758611</xdr:colOff>
      <xdr:row>78</xdr:row>
      <xdr:rowOff>85725</xdr:rowOff>
    </xdr:from>
    <xdr:ext cx="1851239" cy="238125"/>
    <mc:AlternateContent xmlns:mc="http://schemas.openxmlformats.org/markup-compatibility/2006" xmlns:a14="http://schemas.microsoft.com/office/drawing/2010/main">
      <mc:Choice Requires="a14">
        <xdr:sp macro="" textlink="">
          <xdr:nvSpPr>
            <xdr:cNvPr id="15" name="CuadroTexto 14"/>
            <xdr:cNvSpPr txBox="1"/>
          </xdr:nvSpPr>
          <xdr:spPr>
            <a:xfrm>
              <a:off x="2854111" y="30241875"/>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r>
                          <a:rPr lang="es-CO" sz="1100" i="1">
                            <a:solidFill>
                              <a:sysClr val="windowText" lastClr="000000"/>
                            </a:solidFill>
                            <a:effectLst/>
                            <a:latin typeface="Cambria Math" panose="02040503050406030204" pitchFamily="18" charset="0"/>
                            <a:ea typeface="+mn-ea"/>
                            <a:cs typeface="+mn-cs"/>
                          </a:rPr>
                          <m:t>𝐼</m:t>
                        </m:r>
                      </m:e>
                    </m:d>
                    <m:r>
                      <a:rPr lang="es-CO" sz="1100" i="1">
                        <a:solidFill>
                          <a:sysClr val="windowText" lastClr="000000"/>
                        </a:solidFill>
                        <a:effectLst/>
                        <a:latin typeface="Cambria Math" panose="02040503050406030204" pitchFamily="18" charset="0"/>
                        <a:ea typeface="+mn-ea"/>
                        <a:cs typeface="+mn-cs"/>
                      </a:rPr>
                      <m:t>+ </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e>
                    </m:d>
                  </m:oMath>
                </m:oMathPara>
              </a14:m>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Choice>
      <mc:Fallback xmlns="">
        <xdr:sp macro="" textlink="">
          <xdr:nvSpPr>
            <xdr:cNvPr id="15" name="CuadroTexto 14"/>
            <xdr:cNvSpPr txBox="1"/>
          </xdr:nvSpPr>
          <xdr:spPr>
            <a:xfrm>
              <a:off x="2854111" y="30241875"/>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𝑢^2 (𝐸)=𝑢^2 (𝐼)+ 𝑢^2 (𝑚_𝑟𝑒𝑓 )</a:t>
              </a:r>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Fallback>
    </mc:AlternateContent>
    <xdr:clientData/>
  </xdr:oneCellAnchor>
  <xdr:oneCellAnchor>
    <xdr:from>
      <xdr:col>2</xdr:col>
      <xdr:colOff>693570</xdr:colOff>
      <xdr:row>91</xdr:row>
      <xdr:rowOff>407242</xdr:rowOff>
    </xdr:from>
    <xdr:ext cx="1399595" cy="670641"/>
    <mc:AlternateContent xmlns:mc="http://schemas.openxmlformats.org/markup-compatibility/2006" xmlns:a14="http://schemas.microsoft.com/office/drawing/2010/main">
      <mc:Choice Requires="a14">
        <xdr:sp macro="" textlink="">
          <xdr:nvSpPr>
            <xdr:cNvPr id="16" name="CuadroTexto 15"/>
            <xdr:cNvSpPr txBox="1"/>
          </xdr:nvSpPr>
          <xdr:spPr>
            <a:xfrm>
              <a:off x="2789070" y="36449842"/>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16" name="CuadroTexto 15"/>
            <xdr:cNvSpPr txBox="1"/>
          </xdr:nvSpPr>
          <xdr:spPr>
            <a:xfrm>
              <a:off x="2789070" y="36449842"/>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xdr:col>
      <xdr:colOff>611241</xdr:colOff>
      <xdr:row>89</xdr:row>
      <xdr:rowOff>425708</xdr:rowOff>
    </xdr:from>
    <xdr:ext cx="3444551" cy="629817"/>
    <mc:AlternateContent xmlns:mc="http://schemas.openxmlformats.org/markup-compatibility/2006" xmlns:a14="http://schemas.microsoft.com/office/drawing/2010/main">
      <mc:Choice Requires="a14">
        <xdr:sp macro="" textlink="">
          <xdr:nvSpPr>
            <xdr:cNvPr id="17" name="CuadroTexto 16"/>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sSub>
                      <m:sSubPr>
                        <m:ctrlPr>
                          <a:rPr lang="es-CO" sz="1600" i="1">
                            <a:solidFill>
                              <a:schemeClr val="tx1"/>
                            </a:solidFill>
                            <a:effectLst/>
                            <a:latin typeface="Cambria Math" panose="02040503050406030204" pitchFamily="18" charset="0"/>
                            <a:ea typeface="+mn-ea"/>
                            <a:cs typeface="+mn-cs"/>
                          </a:rPr>
                        </m:ctrlPr>
                      </m:sSubPr>
                      <m:e>
                        <m:r>
                          <a:rPr lang="es-ES" sz="1600">
                            <a:solidFill>
                              <a:schemeClr val="tx1"/>
                            </a:solidFill>
                            <a:effectLst/>
                            <a:latin typeface="Cambria Math" panose="02040503050406030204" pitchFamily="18" charset="0"/>
                            <a:ea typeface="+mn-ea"/>
                            <a:cs typeface="+mn-cs"/>
                          </a:rPr>
                          <m:t>(</m:t>
                        </m:r>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r>
                      <a:rPr lang="es-CO" sz="1600" b="0" i="1">
                        <a:solidFill>
                          <a:schemeClr val="tx1"/>
                        </a:solidFill>
                        <a:effectLst/>
                        <a:latin typeface="Cambria Math" panose="02040503050406030204" pitchFamily="18" charset="0"/>
                        <a:ea typeface="+mn-ea"/>
                        <a:cs typeface="+mn-cs"/>
                      </a:rPr>
                      <m:t>)</m:t>
                    </m:r>
                    <m:r>
                      <a:rPr lang="es-CO"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sSub>
                              <m:sSubPr>
                                <m:ctrlPr>
                                  <a:rPr lang="es-CO" sz="1600" i="1">
                                    <a:solidFill>
                                      <a:schemeClr val="tx1"/>
                                    </a:solidFill>
                                    <a:effectLst/>
                                    <a:latin typeface="Cambria Math" panose="02040503050406030204" pitchFamily="18" charset="0"/>
                                    <a:ea typeface="+mn-ea"/>
                                    <a:cs typeface="+mn-cs"/>
                                  </a:rPr>
                                </m:ctrlPr>
                              </m:sSubPr>
                              <m:e>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e>
                          <m:sup>
                            <m:r>
                              <a:rPr lang="es-CO" sz="1050" b="0" i="1">
                                <a:solidFill>
                                  <a:schemeClr val="tx1"/>
                                </a:solidFill>
                                <a:effectLst/>
                                <a:latin typeface="Cambria Math" panose="02040503050406030204" pitchFamily="18" charset="0"/>
                                <a:ea typeface="+mn-ea"/>
                                <a:cs typeface="+mn-cs"/>
                              </a:rPr>
                              <m:t>4</m:t>
                            </m:r>
                          </m:sup>
                        </m:sSup>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𝐶</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𝐵</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𝐷</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den>
                        </m:f>
                      </m:den>
                    </m:f>
                  </m:oMath>
                </m:oMathPara>
              </a14:m>
              <a:endParaRPr lang="es-CO" sz="900">
                <a:solidFill>
                  <a:schemeClr val="tx1"/>
                </a:solidFill>
                <a:effectLst/>
                <a:latin typeface="+mn-lt"/>
                <a:ea typeface="+mn-ea"/>
                <a:cs typeface="+mn-cs"/>
              </a:endParaRPr>
            </a:p>
          </xdr:txBody>
        </xdr:sp>
      </mc:Choice>
      <mc:Fallback xmlns="">
        <xdr:sp macro="" textlink="">
          <xdr:nvSpPr>
            <xdr:cNvPr id="17" name="CuadroTexto 16"/>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600" i="0">
                  <a:solidFill>
                    <a:schemeClr val="tx1"/>
                  </a:solidFill>
                  <a:effectLst/>
                  <a:latin typeface="Cambria Math" panose="02040503050406030204" pitchFamily="18" charset="0"/>
                  <a:ea typeface="+mn-ea"/>
                  <a:cs typeface="+mn-cs"/>
                </a:rPr>
                <a:t> 〖</a:t>
              </a:r>
              <a:r>
                <a:rPr lang="es-ES" sz="160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b="0" i="0">
                  <a:solidFill>
                    <a:schemeClr val="tx1"/>
                  </a:solidFill>
                  <a:effectLst/>
                  <a:latin typeface="Cambria Math" panose="02040503050406030204" pitchFamily="18" charset="0"/>
                  <a:ea typeface="+mn-ea"/>
                  <a:cs typeface="+mn-cs"/>
                </a:rPr>
                <a:t>〗^4/(〖(〖</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𝑚〗_𝐶</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𝑚〗_𝐵</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r>
                <a:rPr lang="es-CO" sz="1050" b="0" i="0">
                  <a:solidFill>
                    <a:schemeClr val="tx1"/>
                  </a:solidFill>
                  <a:effectLst/>
                  <a:latin typeface="Cambria Math" panose="02040503050406030204" pitchFamily="18" charset="0"/>
                  <a:ea typeface="+mn-ea"/>
                  <a:cs typeface="+mn-cs"/>
                </a:rPr>
                <a:t>)+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𝑚〗_𝐷</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r>
                <a:rPr lang="es-CO" sz="1050" b="0" i="0">
                  <a:solidFill>
                    <a:schemeClr val="tx1"/>
                  </a:solidFill>
                  <a:effectLst/>
                  <a:latin typeface="Cambria Math" panose="02040503050406030204" pitchFamily="18" charset="0"/>
                  <a:ea typeface="+mn-ea"/>
                  <a:cs typeface="+mn-cs"/>
                </a:rPr>
                <a:t>))</a:t>
              </a:r>
              <a:endParaRPr lang="es-CO" sz="900">
                <a:solidFill>
                  <a:schemeClr val="tx1"/>
                </a:solidFill>
                <a:effectLst/>
                <a:latin typeface="+mn-lt"/>
                <a:ea typeface="+mn-ea"/>
                <a:cs typeface="+mn-cs"/>
              </a:endParaRPr>
            </a:p>
          </xdr:txBody>
        </xdr:sp>
      </mc:Fallback>
    </mc:AlternateContent>
    <xdr:clientData/>
  </xdr:oneCellAnchor>
  <xdr:oneCellAnchor>
    <xdr:from>
      <xdr:col>1</xdr:col>
      <xdr:colOff>952889</xdr:colOff>
      <xdr:row>85</xdr:row>
      <xdr:rowOff>57150</xdr:rowOff>
    </xdr:from>
    <xdr:ext cx="2819400" cy="552450"/>
    <mc:AlternateContent xmlns:mc="http://schemas.openxmlformats.org/markup-compatibility/2006" xmlns:a14="http://schemas.microsoft.com/office/drawing/2010/main">
      <mc:Choice Requires="a14">
        <xdr:sp macro="" textlink="">
          <xdr:nvSpPr>
            <xdr:cNvPr id="18" name="CuadroTexto 17"/>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b="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4</m:t>
                            </m:r>
                          </m:sup>
                        </m:sSup>
                        <m:r>
                          <a:rPr lang="es-CO" sz="105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i="1">
                            <a:solidFill>
                              <a:schemeClr val="tx1"/>
                            </a:solidFill>
                            <a:effectLst/>
                            <a:latin typeface="Cambria Math" panose="02040503050406030204" pitchFamily="18" charset="0"/>
                            <a:ea typeface="+mn-ea"/>
                            <a:cs typeface="+mn-cs"/>
                          </a:rPr>
                          <m:t>)</m:t>
                        </m:r>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m:t>
                                    </m:r>
                                    <m:r>
                                      <a:rPr lang="es-CO" sz="1050" b="0" i="1">
                                        <a:solidFill>
                                          <a:schemeClr val="tx1"/>
                                        </a:solidFill>
                                        <a:effectLst/>
                                        <a:latin typeface="Cambria Math" panose="02040503050406030204" pitchFamily="18" charset="0"/>
                                        <a:ea typeface="+mn-ea"/>
                                        <a:cs typeface="+mn-cs"/>
                                      </a:rPr>
                                      <m:t>𝑐𝑐</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𝑟𝑒𝑝</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r>
                              <a:rPr lang="es-CO" sz="1050" b="0" i="1">
                                <a:solidFill>
                                  <a:schemeClr val="tx1"/>
                                </a:solidFill>
                                <a:effectLst/>
                                <a:latin typeface="Cambria Math" panose="02040503050406030204" pitchFamily="18" charset="0"/>
                                <a:ea typeface="+mn-ea"/>
                                <a:cs typeface="+mn-cs"/>
                              </a:rPr>
                              <m:t>𝑛</m:t>
                            </m:r>
                            <m:r>
                              <a:rPr lang="es-CO" sz="1050" b="0" i="1">
                                <a:solidFill>
                                  <a:schemeClr val="tx1"/>
                                </a:solidFill>
                                <a:effectLst/>
                                <a:latin typeface="Cambria Math" panose="02040503050406030204" pitchFamily="18" charset="0"/>
                                <a:ea typeface="+mn-ea"/>
                                <a:cs typeface="+mn-cs"/>
                              </a:rPr>
                              <m:t> −1</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𝑑𝑖𝑔</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den>
                        </m:f>
                      </m:den>
                    </m:f>
                  </m:oMath>
                </m:oMathPara>
              </a14:m>
              <a:endParaRPr lang="es-CO" sz="1400">
                <a:solidFill>
                  <a:schemeClr val="tx1"/>
                </a:solidFill>
                <a:effectLst/>
                <a:latin typeface="+mn-lt"/>
                <a:ea typeface="+mn-ea"/>
                <a:cs typeface="+mn-cs"/>
              </a:endParaRPr>
            </a:p>
          </xdr:txBody>
        </xdr:sp>
      </mc:Choice>
      <mc:Fallback xmlns="">
        <xdr:sp macro="" textlink="">
          <xdr:nvSpPr>
            <xdr:cNvPr id="18" name="CuadroTexto 17"/>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050" b="0" i="0">
                  <a:solidFill>
                    <a:schemeClr val="tx1"/>
                  </a:solidFill>
                  <a:effectLst/>
                  <a:latin typeface="Cambria Math" panose="02040503050406030204" pitchFamily="18" charset="0"/>
                  <a:ea typeface="+mn-ea"/>
                  <a:cs typeface="+mn-cs"/>
                </a:rPr>
                <a:t> (𝐼)=</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𝑢^4 </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a:t>
              </a:r>
              <a:r>
                <a:rPr lang="es-CO" sz="1050" b="0" i="0">
                  <a:solidFill>
                    <a:schemeClr val="tx1"/>
                  </a:solidFill>
                  <a:effectLst/>
                  <a:latin typeface="Cambria Math" panose="02040503050406030204" pitchFamily="18" charset="0"/>
                  <a:ea typeface="+mn-ea"/>
                  <a:cs typeface="+mn-cs"/>
                </a:rPr>
                <a:t>𝑐𝑐</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𝑟𝑒𝑝</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〗^4/(𝑛 −1)+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𝑑𝑖𝑔</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r>
                <a:rPr lang="es-CO" sz="1050" b="0" i="0">
                  <a:solidFill>
                    <a:schemeClr val="tx1"/>
                  </a:solidFill>
                  <a:effectLst/>
                  <a:latin typeface="Cambria Math" panose="02040503050406030204" pitchFamily="18" charset="0"/>
                  <a:ea typeface="+mn-ea"/>
                  <a:cs typeface="+mn-cs"/>
                </a:rPr>
                <a:t>))</a:t>
              </a:r>
              <a:endParaRPr lang="es-CO" sz="1400">
                <a:solidFill>
                  <a:schemeClr val="tx1"/>
                </a:solidFill>
                <a:effectLst/>
                <a:latin typeface="+mn-lt"/>
                <a:ea typeface="+mn-ea"/>
                <a:cs typeface="+mn-cs"/>
              </a:endParaRPr>
            </a:p>
          </xdr:txBody>
        </xdr:sp>
      </mc:Fallback>
    </mc:AlternateContent>
    <xdr:clientData/>
  </xdr:oneCellAnchor>
  <xdr:oneCellAnchor>
    <xdr:from>
      <xdr:col>3</xdr:col>
      <xdr:colOff>820371</xdr:colOff>
      <xdr:row>99</xdr:row>
      <xdr:rowOff>76200</xdr:rowOff>
    </xdr:from>
    <xdr:ext cx="1198929" cy="301001"/>
    <mc:AlternateContent xmlns:mc="http://schemas.openxmlformats.org/markup-compatibility/2006" xmlns:a14="http://schemas.microsoft.com/office/drawing/2010/main">
      <mc:Choice Requires="a14">
        <xdr:sp macro="" textlink="">
          <xdr:nvSpPr>
            <xdr:cNvPr id="19" name="CuadroTexto 18"/>
            <xdr:cNvSpPr txBox="1"/>
          </xdr:nvSpPr>
          <xdr:spPr>
            <a:xfrm>
              <a:off x="3963621" y="38119050"/>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100" i="1">
                      <a:solidFill>
                        <a:schemeClr val="bg1"/>
                      </a:solidFill>
                      <a:effectLst/>
                      <a:latin typeface="Cambria Math" panose="02040503050406030204" pitchFamily="18" charset="0"/>
                      <a:ea typeface="+mn-ea"/>
                      <a:cs typeface="+mn-cs"/>
                    </a:rPr>
                    <m:t>𝑈</m:t>
                  </m:r>
                  <m:r>
                    <a:rPr lang="es-CO" sz="1100" b="0" i="1">
                      <a:solidFill>
                        <a:schemeClr val="bg1"/>
                      </a:solidFill>
                      <a:effectLst/>
                      <a:latin typeface="Cambria Math" panose="02040503050406030204" pitchFamily="18" charset="0"/>
                      <a:ea typeface="+mn-ea"/>
                      <a:cs typeface="+mn-cs"/>
                    </a:rPr>
                    <m:t>(</m:t>
                  </m:r>
                  <m:r>
                    <a:rPr lang="es-CO" sz="1100" b="0" i="1">
                      <a:solidFill>
                        <a:schemeClr val="bg1"/>
                      </a:solidFill>
                      <a:effectLst/>
                      <a:latin typeface="Cambria Math" panose="02040503050406030204" pitchFamily="18" charset="0"/>
                      <a:ea typeface="+mn-ea"/>
                      <a:cs typeface="+mn-cs"/>
                    </a:rPr>
                    <m:t>𝐸</m:t>
                  </m:r>
                  <m:r>
                    <a:rPr lang="es-CO" sz="1100" b="0" i="1">
                      <a:solidFill>
                        <a:schemeClr val="bg1"/>
                      </a:solidFill>
                      <a:effectLst/>
                      <a:latin typeface="Cambria Math" panose="02040503050406030204" pitchFamily="18" charset="0"/>
                      <a:ea typeface="+mn-ea"/>
                      <a:cs typeface="+mn-cs"/>
                    </a:rPr>
                    <m:t>)</m:t>
                  </m:r>
                </m:oMath>
              </a14:m>
              <a:r>
                <a:rPr lang="es-CO" sz="1100">
                  <a:solidFill>
                    <a:schemeClr val="bg1"/>
                  </a:solidFill>
                  <a:effectLst/>
                  <a:latin typeface="+mn-lt"/>
                  <a:ea typeface="+mn-ea"/>
                  <a:cs typeface="+mn-cs"/>
                </a:rPr>
                <a:t> </a:t>
              </a:r>
              <a14:m>
                <m:oMath xmlns:m="http://schemas.openxmlformats.org/officeDocument/2006/math">
                  <m:r>
                    <a:rPr lang="es-ES" sz="1100" i="1">
                      <a:solidFill>
                        <a:schemeClr val="bg1"/>
                      </a:solidFill>
                      <a:effectLst/>
                      <a:latin typeface="Cambria Math" panose="02040503050406030204" pitchFamily="18" charset="0"/>
                      <a:ea typeface="+mn-ea"/>
                      <a:cs typeface="+mn-cs"/>
                    </a:rPr>
                    <m:t>= </m:t>
                  </m:r>
                  <m:r>
                    <a:rPr lang="es-ES" sz="1100" i="1">
                      <a:solidFill>
                        <a:schemeClr val="bg1"/>
                      </a:solidFill>
                      <a:effectLst/>
                      <a:latin typeface="Cambria Math" panose="02040503050406030204" pitchFamily="18" charset="0"/>
                      <a:ea typeface="+mn-ea"/>
                      <a:cs typeface="+mn-cs"/>
                    </a:rPr>
                    <m:t>𝑢</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𝐸</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𝑘</m:t>
                  </m:r>
                </m:oMath>
              </a14:m>
              <a:endParaRPr lang="es-CO" sz="1100">
                <a:solidFill>
                  <a:schemeClr val="bg1"/>
                </a:solidFill>
                <a:effectLst/>
                <a:latin typeface="+mn-lt"/>
                <a:ea typeface="+mn-ea"/>
                <a:cs typeface="+mn-cs"/>
              </a:endParaRPr>
            </a:p>
          </xdr:txBody>
        </xdr:sp>
      </mc:Choice>
      <mc:Fallback xmlns="">
        <xdr:sp macro="" textlink="">
          <xdr:nvSpPr>
            <xdr:cNvPr id="19" name="CuadroTexto 18"/>
            <xdr:cNvSpPr txBox="1"/>
          </xdr:nvSpPr>
          <xdr:spPr>
            <a:xfrm>
              <a:off x="3963621" y="38119050"/>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bg1"/>
                  </a:solidFill>
                  <a:effectLst/>
                  <a:latin typeface="Cambria Math" panose="02040503050406030204" pitchFamily="18" charset="0"/>
                  <a:ea typeface="+mn-ea"/>
                  <a:cs typeface="+mn-cs"/>
                </a:rPr>
                <a:t>𝑈</a:t>
              </a:r>
              <a:r>
                <a:rPr lang="es-CO" sz="1100" b="0" i="0">
                  <a:solidFill>
                    <a:schemeClr val="bg1"/>
                  </a:solidFill>
                  <a:effectLst/>
                  <a:latin typeface="Cambria Math" panose="02040503050406030204" pitchFamily="18" charset="0"/>
                  <a:ea typeface="+mn-ea"/>
                  <a:cs typeface="+mn-cs"/>
                </a:rPr>
                <a:t>(𝐸)</a:t>
              </a:r>
              <a:r>
                <a:rPr lang="es-CO" sz="1100">
                  <a:solidFill>
                    <a:schemeClr val="bg1"/>
                  </a:solidFill>
                  <a:effectLst/>
                  <a:latin typeface="+mn-lt"/>
                  <a:ea typeface="+mn-ea"/>
                  <a:cs typeface="+mn-cs"/>
                </a:rPr>
                <a:t> </a:t>
              </a:r>
              <a:r>
                <a:rPr lang="es-ES" sz="1100" i="0">
                  <a:solidFill>
                    <a:schemeClr val="bg1"/>
                  </a:solidFill>
                  <a:effectLst/>
                  <a:latin typeface="Cambria Math" panose="02040503050406030204" pitchFamily="18" charset="0"/>
                  <a:ea typeface="+mn-ea"/>
                  <a:cs typeface="+mn-cs"/>
                </a:rPr>
                <a:t>= 𝑢(𝐸)∗𝑘</a:t>
              </a:r>
              <a:endParaRPr lang="es-CO" sz="1100">
                <a:solidFill>
                  <a:schemeClr val="bg1"/>
                </a:solidFill>
                <a:effectLst/>
                <a:latin typeface="+mn-lt"/>
                <a:ea typeface="+mn-ea"/>
                <a:cs typeface="+mn-cs"/>
              </a:endParaRPr>
            </a:p>
          </xdr:txBody>
        </xdr:sp>
      </mc:Fallback>
    </mc:AlternateContent>
    <xdr:clientData/>
  </xdr:oneCellAnchor>
  <xdr:oneCellAnchor>
    <xdr:from>
      <xdr:col>4</xdr:col>
      <xdr:colOff>63743</xdr:colOff>
      <xdr:row>103</xdr:row>
      <xdr:rowOff>0</xdr:rowOff>
    </xdr:from>
    <xdr:ext cx="1717432" cy="343632"/>
    <mc:AlternateContent xmlns:mc="http://schemas.openxmlformats.org/markup-compatibility/2006" xmlns:a14="http://schemas.microsoft.com/office/drawing/2010/main">
      <mc:Choice Requires="a14">
        <xdr:sp macro="" textlink="">
          <xdr:nvSpPr>
            <xdr:cNvPr id="20" name="CuadroTexto 19"/>
            <xdr:cNvSpPr txBox="1"/>
          </xdr:nvSpPr>
          <xdr:spPr>
            <a:xfrm>
              <a:off x="4492868" y="42214800"/>
              <a:ext cx="1717432" cy="343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ad>
                      <m:radPr>
                        <m:degHide m:val="on"/>
                        <m:ctrlPr>
                          <a:rPr lang="es-CO" sz="1050" i="1">
                            <a:latin typeface="Cambria Math" panose="02040503050406030204" pitchFamily="18" charset="0"/>
                          </a:rPr>
                        </m:ctrlPr>
                      </m:radPr>
                      <m:deg/>
                      <m:e>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𝑅</m:t>
                        </m:r>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𝑑</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𝑦</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𝑠</m:t>
                        </m:r>
                        <m:r>
                          <a:rPr lang="es-CO" sz="1050" b="0" i="1">
                            <a:solidFill>
                              <a:schemeClr val="tx1"/>
                            </a:solidFill>
                            <a:effectLst/>
                            <a:latin typeface="Cambria Math" panose="02040503050406030204" pitchFamily="18" charset="0"/>
                            <a:ea typeface="+mn-ea"/>
                            <a:cs typeface="+mn-cs"/>
                          </a:rPr>
                          <m:t>)</m:t>
                        </m:r>
                        <m:r>
                          <m:rPr>
                            <m:nor/>
                          </m:rPr>
                          <a:rPr lang="es-CO" sz="1050">
                            <a:solidFill>
                              <a:schemeClr val="tx1"/>
                            </a:solidFill>
                            <a:effectLst/>
                            <a:latin typeface="+mn-lt"/>
                            <a:ea typeface="+mn-ea"/>
                            <a:cs typeface="+mn-cs"/>
                          </a:rPr>
                          <m:t>) + </m:t>
                        </m:r>
                        <m:r>
                          <m:rPr>
                            <m:nor/>
                          </m:rPr>
                          <a:rPr lang="es-CO" sz="1050">
                            <a:solidFill>
                              <a:schemeClr val="tx1"/>
                            </a:solidFill>
                            <a:effectLst/>
                            <a:latin typeface="+mn-lt"/>
                            <a:ea typeface="+mn-ea"/>
                            <a:cs typeface="+mn-cs"/>
                          </a:rPr>
                          <m:t>u</m:t>
                        </m:r>
                        <m:r>
                          <m:rPr>
                            <m:nor/>
                          </m:rPr>
                          <a:rPr lang="es-CO" sz="1050">
                            <a:solidFill>
                              <a:schemeClr val="tx1"/>
                            </a:solidFill>
                            <a:effectLst/>
                            <a:latin typeface="+mn-lt"/>
                            <a:ea typeface="+mn-ea"/>
                            <a:cs typeface="+mn-cs"/>
                          </a:rPr>
                          <m:t>2(</m:t>
                        </m:r>
                        <m:r>
                          <m:rPr>
                            <m:nor/>
                          </m:rPr>
                          <a:rPr lang="es-CO" sz="1050">
                            <a:solidFill>
                              <a:schemeClr val="tx1"/>
                            </a:solidFill>
                            <a:effectLst/>
                            <a:latin typeface="+mn-lt"/>
                            <a:ea typeface="+mn-ea"/>
                            <a:cs typeface="+mn-cs"/>
                          </a:rPr>
                          <m:t>Eappr</m:t>
                        </m:r>
                        <m:r>
                          <m:rPr>
                            <m:nor/>
                          </m:rPr>
                          <a:rPr lang="es-CO" sz="1050" b="0" i="0">
                            <a:solidFill>
                              <a:schemeClr val="tx1"/>
                            </a:solidFill>
                            <a:effectLst/>
                            <a:latin typeface="+mn-lt"/>
                            <a:ea typeface="+mn-ea"/>
                            <a:cs typeface="+mn-cs"/>
                          </a:rPr>
                          <m:t>)</m:t>
                        </m:r>
                        <m:r>
                          <m:rPr>
                            <m:nor/>
                          </m:rPr>
                          <a:rPr lang="es-CO" sz="1050">
                            <a:solidFill>
                              <a:schemeClr val="tx1"/>
                            </a:solidFill>
                            <a:effectLst/>
                            <a:latin typeface="+mn-lt"/>
                            <a:ea typeface="+mn-ea"/>
                            <a:cs typeface="+mn-cs"/>
                          </a:rPr>
                          <m:t> </m:t>
                        </m:r>
                        <m:r>
                          <m:rPr>
                            <m:nor/>
                          </m:rPr>
                          <a:rPr lang="es-CO" sz="1050">
                            <a:effectLst/>
                          </a:rPr>
                          <m:t> </m:t>
                        </m:r>
                      </m:e>
                    </m:rad>
                  </m:oMath>
                </m:oMathPara>
              </a14:m>
              <a:endParaRPr lang="es-CO" sz="1050"/>
            </a:p>
          </xdr:txBody>
        </xdr:sp>
      </mc:Choice>
      <mc:Fallback xmlns="">
        <xdr:sp macro="" textlink="">
          <xdr:nvSpPr>
            <xdr:cNvPr id="20" name="CuadroTexto 19"/>
            <xdr:cNvSpPr txBox="1"/>
          </xdr:nvSpPr>
          <xdr:spPr>
            <a:xfrm>
              <a:off x="4492868" y="42214800"/>
              <a:ext cx="1717432" cy="343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latin typeface="Cambria Math" panose="02040503050406030204" pitchFamily="18" charset="0"/>
                </a:rPr>
                <a:t>√(</a:t>
              </a:r>
              <a:r>
                <a:rPr lang="es-CO" sz="1050" b="0" i="0">
                  <a:solidFill>
                    <a:schemeClr val="tx1"/>
                  </a:solidFill>
                  <a:effectLst/>
                  <a:latin typeface="Cambria Math" panose="02040503050406030204" pitchFamily="18" charset="0"/>
                  <a:ea typeface="+mn-ea"/>
                  <a:cs typeface="+mn-cs"/>
                </a:rPr>
                <a:t>𝑢^2 (𝑅(𝑑 𝑦 𝑠)</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 u2(Eappr</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effectLst/>
                </a:rPr>
                <a:t> </a:t>
              </a:r>
              <a:r>
                <a:rPr lang="es-CO" sz="1050" i="0">
                  <a:effectLst/>
                  <a:latin typeface="Cambria Math" panose="02040503050406030204" pitchFamily="18" charset="0"/>
                </a:rPr>
                <a:t>" )</a:t>
              </a:r>
              <a:endParaRPr lang="es-CO" sz="1050"/>
            </a:p>
          </xdr:txBody>
        </xdr:sp>
      </mc:Fallback>
    </mc:AlternateContent>
    <xdr:clientData/>
  </xdr:oneCellAnchor>
  <xdr:oneCellAnchor>
    <xdr:from>
      <xdr:col>0</xdr:col>
      <xdr:colOff>206953</xdr:colOff>
      <xdr:row>102</xdr:row>
      <xdr:rowOff>396585</xdr:rowOff>
    </xdr:from>
    <xdr:ext cx="561109" cy="396134"/>
    <mc:AlternateContent xmlns:mc="http://schemas.openxmlformats.org/markup-compatibility/2006" xmlns:a14="http://schemas.microsoft.com/office/drawing/2010/main">
      <mc:Choice Requires="a14">
        <xdr:sp macro="" textlink="">
          <xdr:nvSpPr>
            <xdr:cNvPr id="21" name="CuadroTexto 20"/>
            <xdr:cNvSpPr txBox="1"/>
          </xdr:nvSpPr>
          <xdr:spPr>
            <a:xfrm>
              <a:off x="1092778" y="42211335"/>
              <a:ext cx="561109" cy="396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i="1">
                            <a:latin typeface="Cambria Math" panose="02040503050406030204" pitchFamily="18" charset="0"/>
                          </a:rPr>
                        </m:ctrlPr>
                      </m:sSupPr>
                      <m:e>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1</m:t>
                            </m:r>
                          </m:num>
                          <m:den>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r>
                              <a:rPr lang="es-CO" sz="110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𝐸</m:t>
                            </m:r>
                            <m:r>
                              <a:rPr lang="es-CO" sz="1100" i="1">
                                <a:solidFill>
                                  <a:schemeClr val="tx1"/>
                                </a:solidFill>
                                <a:effectLst/>
                                <a:latin typeface="Cambria Math" panose="02040503050406030204" pitchFamily="18" charset="0"/>
                                <a:ea typeface="+mn-ea"/>
                                <a:cs typeface="+mn-cs"/>
                              </a:rPr>
                              <m:t>)</m:t>
                            </m:r>
                          </m:den>
                        </m:f>
                        <m:r>
                          <a:rPr lang="es-CO" sz="1100" b="0" i="1">
                            <a:solidFill>
                              <a:schemeClr val="tx1"/>
                            </a:solidFill>
                            <a:effectLst/>
                            <a:latin typeface="Cambria Math" panose="02040503050406030204" pitchFamily="18" charset="0"/>
                            <a:ea typeface="+mn-ea"/>
                            <a:cs typeface="+mn-cs"/>
                          </a:rPr>
                          <m:t>)</m:t>
                        </m:r>
                      </m:e>
                      <m:sup>
                        <m:r>
                          <a:rPr lang="es-CO" sz="1100" b="0" i="1">
                            <a:latin typeface="Cambria Math" panose="02040503050406030204" pitchFamily="18" charset="0"/>
                          </a:rPr>
                          <m:t>2</m:t>
                        </m:r>
                      </m:sup>
                    </m:sSup>
                  </m:oMath>
                </m:oMathPara>
              </a14:m>
              <a:endParaRPr lang="es-CO" sz="1100"/>
            </a:p>
          </xdr:txBody>
        </xdr:sp>
      </mc:Choice>
      <mc:Fallback xmlns="">
        <xdr:sp macro="" textlink="">
          <xdr:nvSpPr>
            <xdr:cNvPr id="21" name="CuadroTexto 20"/>
            <xdr:cNvSpPr txBox="1"/>
          </xdr:nvSpPr>
          <xdr:spPr>
            <a:xfrm>
              <a:off x="1092778" y="42211335"/>
              <a:ext cx="561109" cy="396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(1/(</a:t>
              </a:r>
              <a:r>
                <a:rPr lang="es-CO" sz="1100" i="0">
                  <a:solidFill>
                    <a:schemeClr val="tx1"/>
                  </a:solidFill>
                  <a:effectLst/>
                  <a:latin typeface="Cambria Math" panose="02040503050406030204" pitchFamily="18" charset="0"/>
                  <a:ea typeface="+mn-ea"/>
                  <a:cs typeface="+mn-cs"/>
                </a:rPr>
                <a:t>𝑢^2 (𝐸))</a:t>
              </a:r>
              <a:r>
                <a:rPr lang="es-CO" sz="1100" b="0" i="0">
                  <a:solidFill>
                    <a:schemeClr val="tx1"/>
                  </a:solidFill>
                  <a:effectLst/>
                  <a:latin typeface="Cambria Math" panose="02040503050406030204" pitchFamily="18" charset="0"/>
                  <a:ea typeface="+mn-ea"/>
                  <a:cs typeface="+mn-cs"/>
                </a:rPr>
                <a:t>)〗^</a:t>
              </a:r>
              <a:r>
                <a:rPr lang="es-CO" sz="1100" b="0" i="0">
                  <a:latin typeface="Cambria Math" panose="02040503050406030204" pitchFamily="18" charset="0"/>
                </a:rPr>
                <a:t>2</a:t>
              </a:r>
              <a:endParaRPr lang="es-CO" sz="1100"/>
            </a:p>
          </xdr:txBody>
        </xdr:sp>
      </mc:Fallback>
    </mc:AlternateContent>
    <xdr:clientData/>
  </xdr:oneCellAnchor>
  <xdr:oneCellAnchor>
    <xdr:from>
      <xdr:col>1</xdr:col>
      <xdr:colOff>179242</xdr:colOff>
      <xdr:row>103</xdr:row>
      <xdr:rowOff>92652</xdr:rowOff>
    </xdr:from>
    <xdr:ext cx="609911" cy="175113"/>
    <mc:AlternateContent xmlns:mc="http://schemas.openxmlformats.org/markup-compatibility/2006" xmlns:a14="http://schemas.microsoft.com/office/drawing/2010/main">
      <mc:Choice Requires="a14">
        <xdr:sp macro="" textlink="">
          <xdr:nvSpPr>
            <xdr:cNvPr id="22" name="CuadroTexto 21"/>
            <xdr:cNvSpPr txBox="1"/>
          </xdr:nvSpPr>
          <xdr:spPr>
            <a:xfrm>
              <a:off x="1950892" y="42307452"/>
              <a:ext cx="60991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1">
                  <a:latin typeface="Times New Roman" panose="02020603050405020304" pitchFamily="18" charset="0"/>
                  <a:cs typeface="Times New Roman" panose="02020603050405020304" pitchFamily="18" charset="0"/>
                </a:rPr>
                <a:t>p * </a:t>
              </a:r>
              <a14:m>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oMath>
              </a14:m>
              <a:r>
                <a:rPr lang="es-CO" sz="1100" i="1">
                  <a:latin typeface="Times New Roman" panose="02020603050405020304" pitchFamily="18" charset="0"/>
                  <a:cs typeface="Times New Roman" panose="02020603050405020304" pitchFamily="18" charset="0"/>
                </a:rPr>
                <a:t>  * </a:t>
              </a:r>
              <a14:m>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𝐸</m:t>
                      </m:r>
                    </m:e>
                    <m:sub>
                      <m:acc>
                        <m:accPr>
                          <m:chr m:val="̅"/>
                          <m:ctrlPr>
                            <a:rPr lang="es-CO" sz="1100" i="1">
                              <a:solidFill>
                                <a:schemeClr val="tx1"/>
                              </a:solidFill>
                              <a:effectLst/>
                              <a:latin typeface="Cambria Math" panose="02040503050406030204" pitchFamily="18" charset="0"/>
                              <a:ea typeface="+mn-ea"/>
                              <a:cs typeface="+mn-cs"/>
                            </a:rPr>
                          </m:ctrlPr>
                        </m:accPr>
                        <m:e>
                          <m:r>
                            <a:rPr lang="es-CO" sz="1100" b="0" i="1">
                              <a:solidFill>
                                <a:schemeClr val="tx1"/>
                              </a:solidFill>
                              <a:effectLst/>
                              <a:latin typeface="Cambria Math" panose="02040503050406030204" pitchFamily="18" charset="0"/>
                              <a:ea typeface="+mn-ea"/>
                              <a:cs typeface="+mn-cs"/>
                            </a:rPr>
                            <m:t>𝐼</m:t>
                          </m:r>
                        </m:e>
                      </m:acc>
                    </m:sub>
                  </m:sSub>
                  <m:r>
                    <a:rPr lang="es-CO" sz="1100" i="1">
                      <a:latin typeface="Cambria Math" panose="02040503050406030204" pitchFamily="18" charset="0"/>
                    </a:rPr>
                    <m:t> </m:t>
                  </m:r>
                </m:oMath>
              </a14:m>
              <a:endParaRPr lang="es-CO" sz="1100"/>
            </a:p>
          </xdr:txBody>
        </xdr:sp>
      </mc:Choice>
      <mc:Fallback xmlns="">
        <xdr:sp macro="" textlink="">
          <xdr:nvSpPr>
            <xdr:cNvPr id="22" name="CuadroTexto 21"/>
            <xdr:cNvSpPr txBox="1"/>
          </xdr:nvSpPr>
          <xdr:spPr>
            <a:xfrm>
              <a:off x="1950892" y="42307452"/>
              <a:ext cx="60991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1">
                  <a:latin typeface="Times New Roman" panose="02020603050405020304" pitchFamily="18" charset="0"/>
                  <a:cs typeface="Times New Roman" panose="02020603050405020304" pitchFamily="18" charset="0"/>
                </a:rPr>
                <a:t>p * </a:t>
              </a:r>
              <a:r>
                <a:rPr lang="es-CO" sz="1100" b="0" i="0">
                  <a:latin typeface="Cambria Math" panose="02040503050406030204" pitchFamily="18" charset="0"/>
                </a:rPr>
                <a:t>𝐼 ̅</a:t>
              </a:r>
              <a:r>
                <a:rPr lang="es-CO" sz="1100" i="1">
                  <a:latin typeface="Times New Roman" panose="02020603050405020304" pitchFamily="18" charset="0"/>
                  <a:cs typeface="Times New Roman" panose="02020603050405020304" pitchFamily="18" charset="0"/>
                </a:rPr>
                <a:t>  * </a:t>
              </a:r>
              <a:r>
                <a:rPr lang="es-CO" sz="1100" b="0" i="0">
                  <a:solidFill>
                    <a:schemeClr val="tx1"/>
                  </a:solidFill>
                  <a:effectLst/>
                  <a:latin typeface="Cambria Math" panose="02040503050406030204" pitchFamily="18" charset="0"/>
                  <a:ea typeface="+mn-ea"/>
                  <a:cs typeface="+mn-cs"/>
                </a:rPr>
                <a:t>𝐸_𝐼 ̅  </a:t>
              </a:r>
              <a:r>
                <a:rPr lang="es-CO" sz="1100" i="0">
                  <a:latin typeface="Cambria Math" panose="02040503050406030204" pitchFamily="18" charset="0"/>
                </a:rPr>
                <a:t> </a:t>
              </a:r>
              <a:endParaRPr lang="es-CO" sz="1100"/>
            </a:p>
          </xdr:txBody>
        </xdr:sp>
      </mc:Fallback>
    </mc:AlternateContent>
    <xdr:clientData/>
  </xdr:oneCellAnchor>
  <xdr:oneCellAnchor>
    <xdr:from>
      <xdr:col>8</xdr:col>
      <xdr:colOff>365413</xdr:colOff>
      <xdr:row>51</xdr:row>
      <xdr:rowOff>127288</xdr:rowOff>
    </xdr:from>
    <xdr:ext cx="209609" cy="175113"/>
    <mc:AlternateContent xmlns:mc="http://schemas.openxmlformats.org/markup-compatibility/2006" xmlns:a14="http://schemas.microsoft.com/office/drawing/2010/main">
      <mc:Choice Requires="a14">
        <xdr:sp macro="" textlink="">
          <xdr:nvSpPr>
            <xdr:cNvPr id="23" name="CuadroTexto 22"/>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𝑔</m:t>
                    </m:r>
                  </m:oMath>
                </m:oMathPara>
              </a14:m>
              <a:endParaRPr lang="es-CO" sz="1100"/>
            </a:p>
          </xdr:txBody>
        </xdr:sp>
      </mc:Choice>
      <mc:Fallback xmlns="">
        <xdr:sp macro="" textlink="">
          <xdr:nvSpPr>
            <xdr:cNvPr id="23" name="CuadroTexto 22"/>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𝑔</a:t>
              </a:r>
              <a:endParaRPr lang="es-CO" sz="1100"/>
            </a:p>
          </xdr:txBody>
        </xdr:sp>
      </mc:Fallback>
    </mc:AlternateContent>
    <xdr:clientData/>
  </xdr:oneCellAnchor>
  <xdr:oneCellAnchor>
    <xdr:from>
      <xdr:col>10</xdr:col>
      <xdr:colOff>536863</xdr:colOff>
      <xdr:row>51</xdr:row>
      <xdr:rowOff>112567</xdr:rowOff>
    </xdr:from>
    <xdr:ext cx="156261" cy="175113"/>
    <mc:AlternateContent xmlns:mc="http://schemas.openxmlformats.org/markup-compatibility/2006" xmlns:a14="http://schemas.microsoft.com/office/drawing/2010/main">
      <mc:Choice Requires="a14">
        <xdr:sp macro="" textlink="">
          <xdr:nvSpPr>
            <xdr:cNvPr id="24" name="CuadroTexto 23"/>
            <xdr:cNvSpPr txBox="1"/>
          </xdr:nvSpPr>
          <xdr:spPr>
            <a:xfrm>
              <a:off x="5851813" y="20200792"/>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oMath>
              </a14:m>
              <a:r>
                <a:rPr lang="es-CO" sz="1100"/>
                <a:t> g</a:t>
              </a:r>
            </a:p>
          </xdr:txBody>
        </xdr:sp>
      </mc:Choice>
      <mc:Fallback xmlns="">
        <xdr:sp macro="" textlink="">
          <xdr:nvSpPr>
            <xdr:cNvPr id="24" name="CuadroTexto 23"/>
            <xdr:cNvSpPr txBox="1"/>
          </xdr:nvSpPr>
          <xdr:spPr>
            <a:xfrm>
              <a:off x="5851813" y="20200792"/>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latin typeface="Cambria Math" panose="02040503050406030204" pitchFamily="18" charset="0"/>
                </a:rPr>
                <a:t>𝐼 ̅</a:t>
              </a:r>
              <a:r>
                <a:rPr lang="es-CO" sz="1100"/>
                <a:t> g</a:t>
              </a:r>
            </a:p>
          </xdr:txBody>
        </xdr:sp>
      </mc:Fallback>
    </mc:AlternateContent>
    <xdr:clientData/>
  </xdr:oneCellAnchor>
  <xdr:oneCellAnchor>
    <xdr:from>
      <xdr:col>11</xdr:col>
      <xdr:colOff>502227</xdr:colOff>
      <xdr:row>51</xdr:row>
      <xdr:rowOff>103908</xdr:rowOff>
    </xdr:from>
    <xdr:ext cx="327847" cy="175113"/>
    <mc:AlternateContent xmlns:mc="http://schemas.openxmlformats.org/markup-compatibility/2006" xmlns:a14="http://schemas.microsoft.com/office/drawing/2010/main">
      <mc:Choice Requires="a14">
        <xdr:sp macro="" textlink="">
          <xdr:nvSpPr>
            <xdr:cNvPr id="25" name="CuadroTexto 24"/>
            <xdr:cNvSpPr txBox="1"/>
          </xdr:nvSpPr>
          <xdr:spPr>
            <a:xfrm>
              <a:off x="6703002" y="20192133"/>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25" name="CuadroTexto 24"/>
            <xdr:cNvSpPr txBox="1"/>
          </xdr:nvSpPr>
          <xdr:spPr>
            <a:xfrm>
              <a:off x="6703002" y="20192133"/>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2</xdr:col>
      <xdr:colOff>254045</xdr:colOff>
      <xdr:row>103</xdr:row>
      <xdr:rowOff>96582</xdr:rowOff>
    </xdr:from>
    <xdr:ext cx="441852" cy="184153"/>
    <mc:AlternateContent xmlns:mc="http://schemas.openxmlformats.org/markup-compatibility/2006" xmlns:a14="http://schemas.microsoft.com/office/drawing/2010/main">
      <mc:Choice Requires="a14">
        <xdr:sp macro="" textlink="">
          <xdr:nvSpPr>
            <xdr:cNvPr id="26" name="CuadroTexto 25"/>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s-CO" sz="1200" b="0" i="1">
                          <a:latin typeface="Cambria Math" panose="02040503050406030204" pitchFamily="18" charset="0"/>
                          <a:cs typeface="Times New Roman" panose="02020603050405020304" pitchFamily="18" charset="0"/>
                        </a:rPr>
                      </m:ctrlPr>
                    </m:sSupPr>
                    <m:e>
                      <m:acc>
                        <m:accPr>
                          <m:chr m:val="̅"/>
                          <m:ctrlP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ctrlPr>
                        </m:accPr>
                        <m:e>
                          <m: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t>𝐼</m:t>
                          </m:r>
                        </m:e>
                      </m:acc>
                    </m:e>
                    <m:sup>
                      <m:r>
                        <a:rPr lang="es-CO" sz="1200" b="0" i="1">
                          <a:latin typeface="Cambria Math" panose="02040503050406030204" pitchFamily="18" charset="0"/>
                          <a:cs typeface="Times New Roman" panose="02020603050405020304" pitchFamily="18" charset="0"/>
                        </a:rPr>
                        <m:t>2</m:t>
                      </m:r>
                    </m:sup>
                  </m:sSup>
                  <m:r>
                    <a:rPr lang="es-CO" sz="1200" b="0" i="1">
                      <a:latin typeface="Cambria Math" panose="02040503050406030204" pitchFamily="18" charset="0"/>
                      <a:cs typeface="Times New Roman" panose="02020603050405020304" pitchFamily="18" charset="0"/>
                    </a:rPr>
                    <m:t>∗</m:t>
                  </m:r>
                  <m:r>
                    <a:rPr lang="es-CO" sz="1200" b="0" i="1">
                      <a:latin typeface="Cambria Math" panose="02040503050406030204" pitchFamily="18" charset="0"/>
                      <a:cs typeface="Times New Roman" panose="02020603050405020304" pitchFamily="18" charset="0"/>
                    </a:rPr>
                    <m:t>𝑝</m:t>
                  </m:r>
                </m:oMath>
              </a14:m>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Choice>
      <mc:Fallback xmlns="">
        <xdr:sp macro="" textlink="">
          <xdr:nvSpPr>
            <xdr:cNvPr id="26" name="CuadroTexto 25"/>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0" lang="es-CO" sz="11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𝐼 ̅</a:t>
              </a:r>
              <a:r>
                <a:rPr kumimoji="0" lang="es-CO" sz="12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a:t>
              </a:r>
              <a:r>
                <a:rPr lang="es-CO" sz="1200" b="0" i="0">
                  <a:latin typeface="Cambria Math" panose="02040503050406030204" pitchFamily="18" charset="0"/>
                  <a:cs typeface="Times New Roman" panose="02020603050405020304" pitchFamily="18" charset="0"/>
                </a:rPr>
                <a:t>2∗𝑝</a:t>
              </a:r>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Fallback>
    </mc:AlternateContent>
    <xdr:clientData/>
  </xdr:oneCellAnchor>
  <xdr:oneCellAnchor>
    <xdr:from>
      <xdr:col>0</xdr:col>
      <xdr:colOff>90640</xdr:colOff>
      <xdr:row>111</xdr:row>
      <xdr:rowOff>228600</xdr:rowOff>
    </xdr:from>
    <xdr:ext cx="789584" cy="143430"/>
    <mc:AlternateContent xmlns:mc="http://schemas.openxmlformats.org/markup-compatibility/2006" xmlns:a14="http://schemas.microsoft.com/office/drawing/2010/main">
      <mc:Choice Requires="a14">
        <xdr:sp macro="" textlink="">
          <xdr:nvSpPr>
            <xdr:cNvPr id="27" name="CuadroTexto 26"/>
            <xdr:cNvSpPr txBox="1"/>
          </xdr:nvSpPr>
          <xdr:spPr>
            <a:xfrm>
              <a:off x="8253565" y="42043350"/>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l-GR" sz="1100" b="0" i="1">
                      <a:solidFill>
                        <a:schemeClr val="bg1"/>
                      </a:solidFill>
                      <a:effectLst/>
                      <a:latin typeface="Cambria Math" panose="02040503050406030204" pitchFamily="18" charset="0"/>
                      <a:ea typeface="+mn-ea"/>
                      <a:cs typeface="+mn-cs"/>
                    </a:rPr>
                    <m:t>𝛴</m:t>
                  </m:r>
                </m:oMath>
              </a14:m>
              <a:r>
                <a:rPr lang="es-CO" sz="1100" b="0" i="1">
                  <a:solidFill>
                    <a:schemeClr val="bg1"/>
                  </a:solidFill>
                  <a:latin typeface="Times New Roman" panose="02020603050405020304" pitchFamily="18" charset="0"/>
                  <a:cs typeface="Times New Roman" panose="02020603050405020304" pitchFamily="18" charset="0"/>
                </a:rPr>
                <a:t>pIE </a:t>
              </a:r>
              <a14:m>
                <m:oMath xmlns:m="http://schemas.openxmlformats.org/officeDocument/2006/math">
                  <m:r>
                    <a:rPr lang="es-CO" sz="1100" b="0" i="1">
                      <a:solidFill>
                        <a:schemeClr val="bg1"/>
                      </a:solidFill>
                      <a:effectLst/>
                      <a:latin typeface="Cambria Math" panose="02040503050406030204" pitchFamily="18" charset="0"/>
                      <a:ea typeface="+mn-ea"/>
                      <a:cs typeface="+mn-cs"/>
                    </a:rPr>
                    <m:t> / </m:t>
                  </m:r>
                  <m:r>
                    <a:rPr lang="el-GR" sz="1100" b="0" i="1">
                      <a:solidFill>
                        <a:schemeClr val="bg1"/>
                      </a:solidFill>
                      <a:effectLst/>
                      <a:latin typeface="Cambria Math" panose="02040503050406030204" pitchFamily="18" charset="0"/>
                      <a:ea typeface="+mn-ea"/>
                      <a:cs typeface="+mn-cs"/>
                    </a:rPr>
                    <m:t>𝛴</m:t>
                  </m:r>
                  <m:sSup>
                    <m:sSupPr>
                      <m:ctrlPr>
                        <a:rPr lang="el-GR" sz="1100" b="0" i="1">
                          <a:solidFill>
                            <a:schemeClr val="bg1"/>
                          </a:solidFill>
                          <a:effectLst/>
                          <a:latin typeface="Cambria Math" panose="02040503050406030204" pitchFamily="18" charset="0"/>
                          <a:ea typeface="+mn-ea"/>
                          <a:cs typeface="+mn-cs"/>
                        </a:rPr>
                      </m:ctrlPr>
                    </m:sSupPr>
                    <m:e>
                      <m:r>
                        <a:rPr lang="es-CO" sz="1100" b="0" i="1">
                          <a:solidFill>
                            <a:schemeClr val="bg1"/>
                          </a:solidFill>
                          <a:effectLst/>
                          <a:latin typeface="Cambria Math" panose="02040503050406030204" pitchFamily="18" charset="0"/>
                          <a:ea typeface="+mn-ea"/>
                          <a:cs typeface="+mn-cs"/>
                        </a:rPr>
                        <m:t>𝑝𝐼</m:t>
                      </m:r>
                    </m:e>
                    <m:sup>
                      <m:r>
                        <a:rPr lang="es-CO" sz="11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27" name="CuadroTexto 26"/>
            <xdr:cNvSpPr txBox="1"/>
          </xdr:nvSpPr>
          <xdr:spPr>
            <a:xfrm>
              <a:off x="8253565" y="42043350"/>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i="0">
                  <a:solidFill>
                    <a:schemeClr val="bg1"/>
                  </a:solidFill>
                  <a:effectLst/>
                  <a:latin typeface="Cambria Math" panose="02040503050406030204" pitchFamily="18" charset="0"/>
                  <a:ea typeface="+mn-ea"/>
                  <a:cs typeface="+mn-cs"/>
                </a:rPr>
                <a:t>𝛴</a:t>
              </a:r>
              <a:r>
                <a:rPr lang="es-CO" sz="1100" b="0" i="1">
                  <a:solidFill>
                    <a:schemeClr val="bg1"/>
                  </a:solidFill>
                  <a:latin typeface="Times New Roman" panose="02020603050405020304" pitchFamily="18" charset="0"/>
                  <a:cs typeface="Times New Roman" panose="02020603050405020304" pitchFamily="18" charset="0"/>
                </a:rPr>
                <a:t>pIE </a:t>
              </a:r>
              <a:r>
                <a:rPr lang="es-CO" sz="1100" b="0" i="0">
                  <a:solidFill>
                    <a:schemeClr val="bg1"/>
                  </a:solidFill>
                  <a:effectLst/>
                  <a:latin typeface="Cambria Math" panose="02040503050406030204" pitchFamily="18" charset="0"/>
                  <a:ea typeface="+mn-ea"/>
                  <a:cs typeface="+mn-cs"/>
                </a:rPr>
                <a:t> / </a:t>
              </a:r>
              <a:r>
                <a:rPr lang="el-GR" sz="1100" b="0" i="0">
                  <a:solidFill>
                    <a:schemeClr val="bg1"/>
                  </a:solidFill>
                  <a:effectLst/>
                  <a:latin typeface="Cambria Math" panose="02040503050406030204" pitchFamily="18" charset="0"/>
                  <a:ea typeface="+mn-ea"/>
                  <a:cs typeface="+mn-cs"/>
                </a:rPr>
                <a:t>𝛴〖</a:t>
              </a:r>
              <a:r>
                <a:rPr lang="es-CO" sz="1100" b="0" i="0">
                  <a:solidFill>
                    <a:schemeClr val="bg1"/>
                  </a:solidFill>
                  <a:effectLst/>
                  <a:latin typeface="Cambria Math" panose="02040503050406030204" pitchFamily="18" charset="0"/>
                  <a:ea typeface="+mn-ea"/>
                  <a:cs typeface="+mn-cs"/>
                </a:rPr>
                <a:t>𝑝𝐼</a:t>
              </a:r>
              <a:r>
                <a:rPr lang="el-GR" sz="1100" b="0" i="0">
                  <a:solidFill>
                    <a:schemeClr val="bg1"/>
                  </a:solidFill>
                  <a:effectLst/>
                  <a:latin typeface="Cambria Math" panose="02040503050406030204" pitchFamily="18" charset="0"/>
                  <a:ea typeface="+mn-ea"/>
                  <a:cs typeface="+mn-cs"/>
                </a:rPr>
                <a:t>〗^</a:t>
              </a:r>
              <a:r>
                <a:rPr lang="es-CO" sz="1100" b="0" i="0">
                  <a:solidFill>
                    <a:schemeClr val="bg1"/>
                  </a:solidFill>
                  <a:effectLst/>
                  <a:latin typeface="Cambria Math" panose="02040503050406030204" pitchFamily="18" charset="0"/>
                  <a:ea typeface="+mn-ea"/>
                  <a:cs typeface="+mn-cs"/>
                </a:rPr>
                <a:t>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0</xdr:col>
      <xdr:colOff>624477</xdr:colOff>
      <xdr:row>113</xdr:row>
      <xdr:rowOff>129886</xdr:rowOff>
    </xdr:from>
    <xdr:ext cx="441614" cy="179665"/>
    <mc:AlternateContent xmlns:mc="http://schemas.openxmlformats.org/markup-compatibility/2006" xmlns:a14="http://schemas.microsoft.com/office/drawing/2010/main">
      <mc:Choice Requires="a14">
        <xdr:sp macro="" textlink="">
          <xdr:nvSpPr>
            <xdr:cNvPr id="28" name="CuadroTexto 27"/>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14:m>
                <m:oMath xmlns:m="http://schemas.openxmlformats.org/officeDocument/2006/math">
                  <m:r>
                    <a:rPr lang="es-CO" sz="1100" b="0" i="1">
                      <a:solidFill>
                        <a:schemeClr val="tx1"/>
                      </a:solidFill>
                      <a:effectLst/>
                      <a:latin typeface="Cambria Math" panose="02040503050406030204" pitchFamily="18" charset="0"/>
                      <a:ea typeface="+mn-ea"/>
                      <a:cs typeface="+mn-cs"/>
                    </a:rPr>
                    <m:t>𝑝</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a14:m>
              <a:endParaRPr lang="es-CO" sz="1100" b="0" i="1"/>
            </a:p>
          </xdr:txBody>
        </xdr:sp>
      </mc:Choice>
      <mc:Fallback xmlns="">
        <xdr:sp macro="" textlink="">
          <xdr:nvSpPr>
            <xdr:cNvPr id="28" name="CuadroTexto 27"/>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r>
                <a:rPr lang="es-CO" sz="1100" b="0" i="0">
                  <a:solidFill>
                    <a:schemeClr val="tx1"/>
                  </a:solidFill>
                  <a:effectLst/>
                  <a:latin typeface="Cambria Math" panose="02040503050406030204" pitchFamily="18" charset="0"/>
                  <a:ea typeface="+mn-ea"/>
                  <a:cs typeface="+mn-cs"/>
                </a:rPr>
                <a:t>𝑝𝐼^2</a:t>
              </a:r>
              <a:endParaRPr lang="es-CO" sz="1100" b="0" i="1"/>
            </a:p>
          </xdr:txBody>
        </xdr:sp>
      </mc:Fallback>
    </mc:AlternateContent>
    <xdr:clientData/>
  </xdr:oneCellAnchor>
  <xdr:oneCellAnchor>
    <xdr:from>
      <xdr:col>3</xdr:col>
      <xdr:colOff>17319</xdr:colOff>
      <xdr:row>112</xdr:row>
      <xdr:rowOff>121227</xdr:rowOff>
    </xdr:from>
    <xdr:ext cx="808875" cy="184794"/>
    <mc:AlternateContent xmlns:mc="http://schemas.openxmlformats.org/markup-compatibility/2006" xmlns:a14="http://schemas.microsoft.com/office/drawing/2010/main">
      <mc:Choice Requires="a14">
        <xdr:sp macro="" textlink="">
          <xdr:nvSpPr>
            <xdr:cNvPr id="29" name="CuadroTexto 28"/>
            <xdr:cNvSpPr txBox="1"/>
          </xdr:nvSpPr>
          <xdr:spPr>
            <a:xfrm>
              <a:off x="3364676" y="44235584"/>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bg1"/>
                            </a:solidFill>
                            <a:latin typeface="Cambria Math" panose="02040503050406030204" pitchFamily="18" charset="0"/>
                          </a:rPr>
                        </m:ctrlPr>
                      </m:sSupPr>
                      <m:e>
                        <m:r>
                          <m:rPr>
                            <m:nor/>
                          </m:rPr>
                          <a:rPr lang="es-CO" sz="1100" b="0" i="1">
                            <a:solidFill>
                              <a:schemeClr val="bg1"/>
                            </a:solidFill>
                            <a:latin typeface="Cambria Math" panose="02040503050406030204" pitchFamily="18" charset="0"/>
                          </a:rPr>
                          <m:t>s</m:t>
                        </m:r>
                        <m:r>
                          <m:rPr>
                            <m:nor/>
                          </m:rPr>
                          <a:rPr lang="es-CO" sz="1100" b="0" i="1">
                            <a:solidFill>
                              <a:schemeClr val="bg1"/>
                            </a:solidFill>
                            <a:latin typeface="Cambria Math" panose="02040503050406030204" pitchFamily="18" charset="0"/>
                          </a:rPr>
                          <m:t>  </m:t>
                        </m:r>
                        <m:r>
                          <m:rPr>
                            <m:sty m:val="p"/>
                          </m:rPr>
                          <a:rPr lang="es-CO" sz="1100" b="0" i="1" baseline="0">
                            <a:solidFill>
                              <a:schemeClr val="bg1"/>
                            </a:solidFill>
                            <a:effectLst/>
                            <a:latin typeface="Cambria Math" panose="02040503050406030204" pitchFamily="18" charset="0"/>
                            <a:ea typeface="+mn-ea"/>
                            <a:cs typeface="Times New Roman" panose="02020603050405020304" pitchFamily="18" charset="0"/>
                          </a:rPr>
                          <m:t>m</m:t>
                        </m:r>
                        <m:r>
                          <a:rPr lang="es-CO" sz="1100" b="0" i="1" baseline="0">
                            <a:solidFill>
                              <a:schemeClr val="bg1"/>
                            </a:solidFill>
                            <a:effectLst/>
                            <a:latin typeface="Cambria Math" panose="02040503050406030204" pitchFamily="18" charset="0"/>
                            <a:ea typeface="+mn-ea"/>
                            <a:cs typeface="Times New Roman" panose="02020603050405020304" pitchFamily="18" charset="0"/>
                          </a:rPr>
                          <m:t>á</m:t>
                        </m:r>
                        <m:r>
                          <m:rPr>
                            <m:sty m:val="p"/>
                          </m:rPr>
                          <a:rPr lang="es-CO" sz="1100" b="0" i="1" baseline="0">
                            <a:solidFill>
                              <a:schemeClr val="bg1"/>
                            </a:solidFill>
                            <a:effectLst/>
                            <a:latin typeface="Cambria Math" panose="02040503050406030204" pitchFamily="18" charset="0"/>
                            <a:ea typeface="+mn-ea"/>
                            <a:cs typeface="Times New Roman" panose="02020603050405020304" pitchFamily="18" charset="0"/>
                          </a:rPr>
                          <m:t>xima</m:t>
                        </m:r>
                        <m:r>
                          <m:rPr>
                            <m:nor/>
                          </m:rPr>
                          <a:rPr lang="es-CO" sz="1100" b="0" i="1" baseline="0">
                            <a:solidFill>
                              <a:schemeClr val="bg1"/>
                            </a:solidFill>
                            <a:effectLst/>
                            <a:latin typeface="Times New Roman" panose="02020603050405020304" pitchFamily="18" charset="0"/>
                            <a:ea typeface="+mn-ea"/>
                            <a:cs typeface="Times New Roman" panose="02020603050405020304" pitchFamily="18" charset="0"/>
                          </a:rPr>
                          <m:t>  </m:t>
                        </m:r>
                        <m:r>
                          <m:rPr>
                            <m:nor/>
                          </m:rPr>
                          <a:rPr lang="es-CO" b="0" i="1">
                            <a:solidFill>
                              <a:schemeClr val="bg1"/>
                            </a:solidFill>
                            <a:effectLst/>
                            <a:latin typeface="Times New Roman" panose="02020603050405020304" pitchFamily="18" charset="0"/>
                            <a:cs typeface="Times New Roman" panose="02020603050405020304" pitchFamily="18" charset="0"/>
                          </a:rPr>
                          <m:t> </m:t>
                        </m:r>
                      </m:e>
                      <m:sup>
                        <m:r>
                          <a:rPr lang="es-CO" sz="1100" b="0" i="1">
                            <a:solidFill>
                              <a:schemeClr val="bg1"/>
                            </a:solidFill>
                            <a:latin typeface="Cambria Math" panose="02040503050406030204" pitchFamily="18" charset="0"/>
                          </a:rPr>
                          <m:t>2</m:t>
                        </m:r>
                      </m:sup>
                    </m:sSup>
                  </m:oMath>
                </m:oMathPara>
              </a14:m>
              <a:endParaRPr lang="es-CO" sz="1100" b="0"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29" name="CuadroTexto 28"/>
            <xdr:cNvSpPr txBox="1"/>
          </xdr:nvSpPr>
          <xdr:spPr>
            <a:xfrm>
              <a:off x="9218469" y="43136127"/>
              <a:ext cx="775725" cy="175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solidFill>
                    <a:schemeClr val="bg1"/>
                  </a:solidFill>
                  <a:latin typeface="Cambria Math" panose="02040503050406030204" pitchFamily="18" charset="0"/>
                </a:rPr>
                <a:t>〖"s  </a:t>
              </a:r>
              <a:r>
                <a:rPr lang="es-CO" sz="1100" b="0" i="0" baseline="0">
                  <a:solidFill>
                    <a:schemeClr val="bg1"/>
                  </a:solidFill>
                  <a:effectLst/>
                  <a:latin typeface="Times New Roman" panose="02020603050405020304" pitchFamily="18" charset="0"/>
                  <a:ea typeface="+mn-ea"/>
                  <a:cs typeface="Times New Roman" panose="02020603050405020304" pitchFamily="18" charset="0"/>
                </a:rPr>
                <a:t>maxima  </a:t>
              </a:r>
              <a:r>
                <a:rPr lang="es-CO" b="0" i="0">
                  <a:solidFill>
                    <a:schemeClr val="bg1"/>
                  </a:solidFill>
                  <a:effectLst/>
                  <a:latin typeface="Times New Roman" panose="02020603050405020304" pitchFamily="18" charset="0"/>
                  <a:cs typeface="Times New Roman" panose="02020603050405020304" pitchFamily="18" charset="0"/>
                </a:rPr>
                <a:t> </a:t>
              </a:r>
              <a:r>
                <a:rPr lang="es-CO" b="0" i="0">
                  <a:solidFill>
                    <a:schemeClr val="bg1"/>
                  </a:solidFill>
                  <a:effectLst/>
                  <a:latin typeface="Cambria Math" panose="02040503050406030204" pitchFamily="18" charset="0"/>
                  <a:cs typeface="Times New Roman" panose="02020603050405020304" pitchFamily="18" charset="0"/>
                </a:rPr>
                <a:t>" </a:t>
              </a:r>
              <a:r>
                <a:rPr lang="es-CO" sz="1100" b="0" i="0">
                  <a:solidFill>
                    <a:schemeClr val="bg1"/>
                  </a:solidFill>
                  <a:effectLst/>
                  <a:latin typeface="Cambria Math" panose="02040503050406030204" pitchFamily="18" charset="0"/>
                  <a:cs typeface="Times New Roman" panose="02020603050405020304" pitchFamily="18" charset="0"/>
                </a:rPr>
                <a:t>〗^</a:t>
              </a:r>
              <a:r>
                <a:rPr lang="es-CO" sz="1100" b="0" i="0">
                  <a:solidFill>
                    <a:schemeClr val="bg1"/>
                  </a:solidFill>
                  <a:latin typeface="Cambria Math" panose="02040503050406030204" pitchFamily="18" charset="0"/>
                </a:rPr>
                <a:t>2</a:t>
              </a:r>
              <a:endParaRPr lang="es-CO" sz="1100" b="0"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3</xdr:col>
      <xdr:colOff>67246</xdr:colOff>
      <xdr:row>113</xdr:row>
      <xdr:rowOff>15371</xdr:rowOff>
    </xdr:from>
    <xdr:ext cx="835559" cy="347382"/>
    <mc:AlternateContent xmlns:mc="http://schemas.openxmlformats.org/markup-compatibility/2006" xmlns:a14="http://schemas.microsoft.com/office/drawing/2010/main">
      <mc:Choice Requires="a14">
        <xdr:sp macro="" textlink="">
          <xdr:nvSpPr>
            <xdr:cNvPr id="30" name="CuadroTexto 29"/>
            <xdr:cNvSpPr txBox="1"/>
          </xdr:nvSpPr>
          <xdr:spPr>
            <a:xfrm>
              <a:off x="10154221" y="43430321"/>
              <a:ext cx="835559" cy="347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800" b="0" i="1">
                            <a:solidFill>
                              <a:schemeClr val="tx1"/>
                            </a:solidFill>
                            <a:effectLst/>
                            <a:latin typeface="Cambria Math" panose="02040503050406030204" pitchFamily="18" charset="0"/>
                            <a:ea typeface="+mn-ea"/>
                            <a:cs typeface="+mn-cs"/>
                          </a:rPr>
                        </m:ctrlPr>
                      </m:sSupPr>
                      <m:e>
                        <m:f>
                          <m:fPr>
                            <m:ctrlPr>
                              <a:rPr lang="es-CO" sz="800" b="0" i="1">
                                <a:solidFill>
                                  <a:schemeClr val="tx1"/>
                                </a:solidFill>
                                <a:effectLst/>
                                <a:latin typeface="Cambria Math" panose="02040503050406030204" pitchFamily="18" charset="0"/>
                                <a:ea typeface="+mn-ea"/>
                                <a:cs typeface="+mn-cs"/>
                              </a:rPr>
                            </m:ctrlPr>
                          </m:fPr>
                          <m:num>
                            <m:sSup>
                              <m:sSupPr>
                                <m:ctrlPr>
                                  <a:rPr lang="es-CO" sz="800" b="0" i="1">
                                    <a:solidFill>
                                      <a:schemeClr val="tx1"/>
                                    </a:solidFill>
                                    <a:effectLst/>
                                    <a:latin typeface="Cambria Math" panose="02040503050406030204" pitchFamily="18" charset="0"/>
                                    <a:ea typeface="+mn-ea"/>
                                    <a:cs typeface="+mn-cs"/>
                                  </a:rPr>
                                </m:ctrlPr>
                              </m:sSupPr>
                              <m:e>
                                <m:r>
                                  <a:rPr lang="es-CO" sz="800" b="0" i="1">
                                    <a:solidFill>
                                      <a:schemeClr val="tx1"/>
                                    </a:solidFill>
                                    <a:effectLst/>
                                    <a:latin typeface="Cambria Math" panose="02040503050406030204" pitchFamily="18" charset="0"/>
                                    <a:ea typeface="+mn-ea"/>
                                    <a:cs typeface="+mn-cs"/>
                                  </a:rPr>
                                  <m:t>𝑑</m:t>
                                </m:r>
                              </m:e>
                              <m:sup>
                                <m:r>
                                  <a:rPr lang="es-CO" sz="800" b="0" i="1">
                                    <a:solidFill>
                                      <a:schemeClr val="tx1"/>
                                    </a:solidFill>
                                    <a:effectLst/>
                                    <a:latin typeface="Cambria Math" panose="02040503050406030204" pitchFamily="18" charset="0"/>
                                    <a:ea typeface="+mn-ea"/>
                                    <a:cs typeface="+mn-cs"/>
                                  </a:rPr>
                                  <m:t>2</m:t>
                                </m:r>
                              </m:sup>
                            </m:sSup>
                          </m:num>
                          <m:den>
                            <m:r>
                              <a:rPr lang="es-CO" sz="800" b="0" i="1">
                                <a:solidFill>
                                  <a:schemeClr val="tx1"/>
                                </a:solidFill>
                                <a:effectLst/>
                                <a:latin typeface="Cambria Math" panose="02040503050406030204" pitchFamily="18" charset="0"/>
                                <a:ea typeface="+mn-ea"/>
                                <a:cs typeface="+mn-cs"/>
                              </a:rPr>
                              <m:t>6</m:t>
                            </m:r>
                          </m:den>
                        </m:f>
                        <m:r>
                          <m:rPr>
                            <m:nor/>
                          </m:rPr>
                          <a:rPr lang="es-CO" sz="800" i="1">
                            <a:solidFill>
                              <a:schemeClr val="tx1"/>
                            </a:solidFill>
                            <a:effectLst/>
                            <a:latin typeface="+mn-lt"/>
                            <a:ea typeface="+mn-ea"/>
                            <a:cs typeface="+mn-cs"/>
                          </a:rPr>
                          <m:t> </m:t>
                        </m:r>
                        <m:r>
                          <m:rPr>
                            <m:nor/>
                          </m:rPr>
                          <a:rPr lang="es-CO" sz="800" b="0" i="1">
                            <a:solidFill>
                              <a:schemeClr val="tx1"/>
                            </a:solidFill>
                            <a:effectLst/>
                            <a:latin typeface="+mn-lt"/>
                            <a:ea typeface="+mn-ea"/>
                            <a:cs typeface="+mn-cs"/>
                          </a:rPr>
                          <m:t>+</m:t>
                        </m:r>
                        <m:r>
                          <a:rPr lang="es-CO" sz="800" b="0" i="1">
                            <a:solidFill>
                              <a:schemeClr val="tx1"/>
                            </a:solidFill>
                            <a:effectLst/>
                            <a:latin typeface="Cambria Math" panose="02040503050406030204" pitchFamily="18" charset="0"/>
                            <a:ea typeface="+mn-ea"/>
                            <a:cs typeface="+mn-cs"/>
                          </a:rPr>
                          <m:t> </m:t>
                        </m:r>
                        <m:sSup>
                          <m:sSupPr>
                            <m:ctrlPr>
                              <a:rPr lang="es-CO" sz="1000" b="0" i="1">
                                <a:solidFill>
                                  <a:schemeClr val="tx1"/>
                                </a:solidFill>
                                <a:effectLst/>
                                <a:latin typeface="Cambria Math" panose="02040503050406030204" pitchFamily="18" charset="0"/>
                                <a:ea typeface="+mn-ea"/>
                                <a:cs typeface="+mn-cs"/>
                              </a:rPr>
                            </m:ctrlPr>
                          </m:sSupPr>
                          <m:e>
                            <m:r>
                              <a:rPr lang="es-CO" sz="1000" b="0" i="1">
                                <a:solidFill>
                                  <a:schemeClr val="tx1"/>
                                </a:solidFill>
                                <a:effectLst/>
                                <a:latin typeface="Cambria Math" panose="02040503050406030204" pitchFamily="18" charset="0"/>
                                <a:ea typeface="+mn-ea"/>
                                <a:cs typeface="+mn-cs"/>
                              </a:rPr>
                              <m:t>𝑠</m:t>
                            </m:r>
                            <m:r>
                              <a:rPr lang="es-CO" sz="1000" b="0" i="1">
                                <a:solidFill>
                                  <a:schemeClr val="tx1"/>
                                </a:solidFill>
                                <a:effectLst/>
                                <a:latin typeface="Cambria Math" panose="02040503050406030204" pitchFamily="18" charset="0"/>
                                <a:ea typeface="+mn-ea"/>
                                <a:cs typeface="+mn-cs"/>
                              </a:rPr>
                              <m:t> </m:t>
                            </m:r>
                            <m:r>
                              <a:rPr lang="es-CO" sz="1000" b="0" i="1">
                                <a:solidFill>
                                  <a:schemeClr val="tx1"/>
                                </a:solidFill>
                                <a:effectLst/>
                                <a:latin typeface="Cambria Math" panose="02040503050406030204" pitchFamily="18" charset="0"/>
                                <a:ea typeface="+mn-ea"/>
                                <a:cs typeface="+mn-cs"/>
                              </a:rPr>
                              <m:t>𝑚𝑎𝑥𝑖𝑚𝑎</m:t>
                            </m:r>
                          </m:e>
                          <m:sup>
                            <m:r>
                              <a:rPr lang="es-CO" sz="1000" b="0" i="1">
                                <a:solidFill>
                                  <a:schemeClr val="tx1"/>
                                </a:solidFill>
                                <a:effectLst/>
                                <a:latin typeface="Cambria Math" panose="02040503050406030204" pitchFamily="18" charset="0"/>
                                <a:ea typeface="+mn-ea"/>
                                <a:cs typeface="+mn-cs"/>
                              </a:rPr>
                              <m:t>2</m:t>
                            </m:r>
                          </m:sup>
                        </m:sSup>
                      </m:e>
                      <m:sup/>
                    </m:sSup>
                  </m:oMath>
                </m:oMathPara>
              </a14:m>
              <a:endParaRPr lang="es-CO" sz="1050" b="1"/>
            </a:p>
          </xdr:txBody>
        </xdr:sp>
      </mc:Choice>
      <mc:Fallback xmlns="">
        <xdr:sp macro="" textlink="">
          <xdr:nvSpPr>
            <xdr:cNvPr id="30" name="CuadroTexto 29"/>
            <xdr:cNvSpPr txBox="1"/>
          </xdr:nvSpPr>
          <xdr:spPr>
            <a:xfrm>
              <a:off x="10154221" y="43430321"/>
              <a:ext cx="835559" cy="347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800" b="0" i="0">
                  <a:solidFill>
                    <a:schemeClr val="tx1"/>
                  </a:solidFill>
                  <a:effectLst/>
                  <a:latin typeface="Cambria Math" panose="02040503050406030204" pitchFamily="18" charset="0"/>
                  <a:ea typeface="+mn-ea"/>
                  <a:cs typeface="+mn-cs"/>
                </a:rPr>
                <a:t>〖𝑑^2/6</a:t>
              </a:r>
              <a:r>
                <a:rPr lang="es-CO" sz="800" b="0" i="0">
                  <a:solidFill>
                    <a:schemeClr val="tx1"/>
                  </a:solidFill>
                  <a:effectLst/>
                  <a:latin typeface="+mn-lt"/>
                  <a:ea typeface="+mn-ea"/>
                  <a:cs typeface="+mn-cs"/>
                </a:rPr>
                <a:t> "</a:t>
              </a:r>
              <a:r>
                <a:rPr lang="es-CO" sz="800" i="0">
                  <a:solidFill>
                    <a:schemeClr val="tx1"/>
                  </a:solidFill>
                  <a:effectLst/>
                  <a:latin typeface="+mn-lt"/>
                  <a:ea typeface="+mn-ea"/>
                  <a:cs typeface="+mn-cs"/>
                </a:rPr>
                <a:t> </a:t>
              </a:r>
              <a:r>
                <a:rPr lang="es-CO" sz="800" b="0" i="0">
                  <a:solidFill>
                    <a:schemeClr val="tx1"/>
                  </a:solidFill>
                  <a:effectLst/>
                  <a:latin typeface="+mn-lt"/>
                  <a:ea typeface="+mn-ea"/>
                  <a:cs typeface="+mn-cs"/>
                </a:rPr>
                <a:t>+</a:t>
              </a:r>
              <a:r>
                <a:rPr lang="es-CO" sz="800" b="0" i="0">
                  <a:solidFill>
                    <a:schemeClr val="tx1"/>
                  </a:solidFill>
                  <a:effectLst/>
                  <a:latin typeface="Cambria Math" panose="02040503050406030204" pitchFamily="18" charset="0"/>
                  <a:ea typeface="+mn-ea"/>
                  <a:cs typeface="+mn-cs"/>
                </a:rPr>
                <a:t>"  </a:t>
              </a:r>
              <a:r>
                <a:rPr lang="es-CO" sz="1000" b="0" i="0">
                  <a:solidFill>
                    <a:schemeClr val="tx1"/>
                  </a:solidFill>
                  <a:effectLst/>
                  <a:latin typeface="Cambria Math" panose="02040503050406030204" pitchFamily="18" charset="0"/>
                  <a:ea typeface="+mn-ea"/>
                  <a:cs typeface="+mn-cs"/>
                </a:rPr>
                <a:t>〖𝑠 𝑚𝑎𝑥𝑖𝑚𝑎〗^2</a:t>
              </a:r>
              <a:r>
                <a:rPr lang="es-CO" sz="800" b="0" i="0">
                  <a:solidFill>
                    <a:schemeClr val="tx1"/>
                  </a:solidFill>
                  <a:effectLst/>
                  <a:latin typeface="Cambria Math" panose="02040503050406030204" pitchFamily="18" charset="0"/>
                  <a:ea typeface="+mn-ea"/>
                  <a:cs typeface="+mn-cs"/>
                </a:rPr>
                <a:t>〗^</a:t>
              </a:r>
              <a:endParaRPr lang="es-CO" sz="1050" b="1"/>
            </a:p>
          </xdr:txBody>
        </xdr:sp>
      </mc:Fallback>
    </mc:AlternateContent>
    <xdr:clientData/>
  </xdr:oneCellAnchor>
  <xdr:oneCellAnchor>
    <xdr:from>
      <xdr:col>3</xdr:col>
      <xdr:colOff>129221</xdr:colOff>
      <xdr:row>103</xdr:row>
      <xdr:rowOff>57188</xdr:rowOff>
    </xdr:from>
    <xdr:ext cx="865910" cy="337704"/>
    <mc:AlternateContent xmlns:mc="http://schemas.openxmlformats.org/markup-compatibility/2006" xmlns:a14="http://schemas.microsoft.com/office/drawing/2010/main">
      <mc:Choice Requires="a14">
        <xdr:sp macro="" textlink="">
          <xdr:nvSpPr>
            <xdr:cNvPr id="31" name="CuadroTexto 30"/>
            <xdr:cNvSpPr txBox="1"/>
          </xdr:nvSpPr>
          <xdr:spPr>
            <a:xfrm>
              <a:off x="5109435" y="38783117"/>
              <a:ext cx="865910" cy="337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050" i="1">
                            <a:solidFill>
                              <a:schemeClr val="tx1"/>
                            </a:solidFill>
                            <a:effectLst/>
                            <a:latin typeface="Cambria Math" panose="02040503050406030204" pitchFamily="18" charset="0"/>
                            <a:ea typeface="+mn-ea"/>
                            <a:cs typeface="+mn-cs"/>
                          </a:rPr>
                        </m:ctrlPr>
                      </m:sSupPr>
                      <m:e>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m:t>
                            </m:r>
                            <m:acc>
                              <m:accPr>
                                <m:chr m:val="̅"/>
                                <m:ctrlPr>
                                  <a:rPr lang="es-CO" sz="1050" i="1">
                                    <a:solidFill>
                                      <a:schemeClr val="tx1"/>
                                    </a:solidFill>
                                    <a:effectLst/>
                                    <a:latin typeface="Cambria Math" panose="02040503050406030204" pitchFamily="18" charset="0"/>
                                    <a:ea typeface="+mn-ea"/>
                                    <a:cs typeface="+mn-cs"/>
                                  </a:rPr>
                                </m:ctrlPr>
                              </m:accPr>
                              <m:e>
                                <m:r>
                                  <a:rPr lang="es-CO" sz="1050" b="0" i="1">
                                    <a:solidFill>
                                      <a:schemeClr val="tx1"/>
                                    </a:solidFill>
                                    <a:effectLst/>
                                    <a:latin typeface="Cambria Math" panose="02040503050406030204" pitchFamily="18" charset="0"/>
                                    <a:ea typeface="+mn-ea"/>
                                    <a:cs typeface="+mn-cs"/>
                                  </a:rPr>
                                  <m:t>𝐼</m:t>
                                </m:r>
                              </m:e>
                            </m:acc>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𝑝</m:t>
                        </m:r>
                        <m:r>
                          <a:rPr lang="es-CO" sz="1050" b="0" i="1">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 ∗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𝑑</m:t>
                            </m:r>
                          </m:e>
                          <m:sup>
                            <m:r>
                              <a:rPr lang="es-CO" sz="1050" b="0" i="1">
                                <a:solidFill>
                                  <a:schemeClr val="tx1"/>
                                </a:solidFill>
                                <a:effectLst/>
                                <a:latin typeface="Cambria Math" panose="02040503050406030204" pitchFamily="18" charset="0"/>
                                <a:ea typeface="+mn-ea"/>
                                <a:cs typeface="+mn-cs"/>
                              </a:rPr>
                              <m:t>2</m:t>
                            </m:r>
                          </m:sup>
                        </m:sSup>
                      </m:num>
                      <m:den>
                        <m:r>
                          <a:rPr lang="es-CO" sz="1050" b="0" i="1">
                            <a:solidFill>
                              <a:schemeClr val="tx1"/>
                            </a:solidFill>
                            <a:effectLst/>
                            <a:latin typeface="Cambria Math" panose="02040503050406030204" pitchFamily="18" charset="0"/>
                            <a:ea typeface="+mn-ea"/>
                            <a:cs typeface="+mn-cs"/>
                          </a:rPr>
                          <m:t>6</m:t>
                        </m:r>
                      </m:den>
                    </m:f>
                  </m:oMath>
                </m:oMathPara>
              </a14:m>
              <a:endParaRPr lang="es-CO">
                <a:effectLst/>
              </a:endParaRPr>
            </a:p>
            <a:p>
              <a:pPr/>
              <a14:m>
                <m:oMathPara xmlns:m="http://schemas.openxmlformats.org/officeDocument/2006/math">
                  <m:oMathParaPr>
                    <m:jc m:val="centerGroup"/>
                  </m:oMathParaPr>
                  <m:oMath xmlns:m="http://schemas.openxmlformats.org/officeDocument/2006/math">
                    <m:r>
                      <a:rPr lang="es-CO" sz="1100" b="0" i="1">
                        <a:solidFill>
                          <a:schemeClr val="tx1"/>
                        </a:solidFill>
                        <a:effectLst/>
                        <a:latin typeface="Cambria Math" panose="02040503050406030204" pitchFamily="18" charset="0"/>
                        <a:ea typeface="+mn-ea"/>
                        <a:cs typeface="+mn-cs"/>
                      </a:rPr>
                      <m:t> </m:t>
                    </m:r>
                  </m:oMath>
                </m:oMathPara>
              </a14:m>
              <a:endParaRPr lang="es-CO" sz="1100" b="1"/>
            </a:p>
          </xdr:txBody>
        </xdr:sp>
      </mc:Choice>
      <mc:Fallback xmlns="">
        <xdr:sp macro="" textlink="">
          <xdr:nvSpPr>
            <xdr:cNvPr id="31" name="CuadroTexto 30"/>
            <xdr:cNvSpPr txBox="1"/>
          </xdr:nvSpPr>
          <xdr:spPr>
            <a:xfrm>
              <a:off x="5109435" y="38783117"/>
              <a:ext cx="865910" cy="337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 ̅〗^2  ∗𝑝)〗^2  ∗  𝑑^2/6</a:t>
              </a:r>
              <a:endParaRPr lang="es-CO">
                <a:effectLst/>
              </a:endParaRPr>
            </a:p>
            <a:p>
              <a:pPr/>
              <a:r>
                <a:rPr lang="es-CO" sz="1100" b="0" i="0">
                  <a:solidFill>
                    <a:schemeClr val="tx1"/>
                  </a:solidFill>
                  <a:effectLst/>
                  <a:latin typeface="Cambria Math" panose="02040503050406030204" pitchFamily="18" charset="0"/>
                  <a:ea typeface="+mn-ea"/>
                  <a:cs typeface="+mn-cs"/>
                </a:rPr>
                <a:t> </a:t>
              </a:r>
              <a:endParaRPr lang="es-CO" sz="1100" b="1"/>
            </a:p>
          </xdr:txBody>
        </xdr:sp>
      </mc:Fallback>
    </mc:AlternateContent>
    <xdr:clientData/>
  </xdr:oneCellAnchor>
  <xdr:oneCellAnchor>
    <xdr:from>
      <xdr:col>4</xdr:col>
      <xdr:colOff>1105964</xdr:colOff>
      <xdr:row>109</xdr:row>
      <xdr:rowOff>71311</xdr:rowOff>
    </xdr:from>
    <xdr:ext cx="1109797" cy="255106"/>
    <mc:AlternateContent xmlns:mc="http://schemas.openxmlformats.org/markup-compatibility/2006" xmlns:a14="http://schemas.microsoft.com/office/drawing/2010/main">
      <mc:Choice Requires="a14">
        <xdr:sp macro="" textlink="">
          <xdr:nvSpPr>
            <xdr:cNvPr id="32" name="CuadroTexto 31"/>
            <xdr:cNvSpPr txBox="1"/>
          </xdr:nvSpPr>
          <xdr:spPr>
            <a:xfrm>
              <a:off x="7167328" y="41167356"/>
              <a:ext cx="1109797" cy="255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a:solidFill>
                    <a:schemeClr val="bg1"/>
                  </a:solidFill>
                  <a:effectLst/>
                  <a:ea typeface="+mn-ea"/>
                  <a:cs typeface="+mn-cs"/>
                </a:rPr>
                <a:t>Σ</a:t>
              </a:r>
              <a14:m>
                <m:oMath xmlns:m="http://schemas.openxmlformats.org/officeDocument/2006/math">
                  <m:r>
                    <a:rPr lang="es-CO" sz="1200" b="0" i="1">
                      <a:solidFill>
                        <a:schemeClr val="bg1"/>
                      </a:solidFill>
                      <a:effectLst/>
                      <a:latin typeface="Cambria Math" panose="02040503050406030204" pitchFamily="18" charset="0"/>
                      <a:ea typeface="+mn-ea"/>
                      <a:cs typeface="+mn-cs"/>
                    </a:rPr>
                    <m:t>𝑝</m:t>
                  </m:r>
                  <m:sSup>
                    <m:sSupPr>
                      <m:ctrlPr>
                        <a:rPr lang="es-CO" sz="1200" b="0" i="1">
                          <a:solidFill>
                            <a:schemeClr val="bg1"/>
                          </a:solidFill>
                          <a:effectLst/>
                          <a:latin typeface="Cambria Math" panose="02040503050406030204" pitchFamily="18" charset="0"/>
                          <a:ea typeface="+mn-ea"/>
                          <a:cs typeface="+mn-cs"/>
                        </a:rPr>
                      </m:ctrlPr>
                    </m:sSupPr>
                    <m:e>
                      <m:r>
                        <a:rPr lang="es-CO" sz="1200" b="0" i="1">
                          <a:solidFill>
                            <a:schemeClr val="bg1"/>
                          </a:solidFill>
                          <a:effectLst/>
                          <a:latin typeface="Cambria Math" panose="02040503050406030204" pitchFamily="18" charset="0"/>
                          <a:ea typeface="+mn-ea"/>
                          <a:cs typeface="+mn-cs"/>
                        </a:rPr>
                        <m:t>(</m:t>
                      </m:r>
                      <m:sSub>
                        <m:sSubPr>
                          <m:ctrlPr>
                            <a:rPr lang="es-CO" sz="1200" b="0" i="1">
                              <a:solidFill>
                                <a:schemeClr val="bg1"/>
                              </a:solidFill>
                              <a:effectLst/>
                              <a:latin typeface="Cambria Math" panose="02040503050406030204" pitchFamily="18" charset="0"/>
                              <a:ea typeface="+mn-ea"/>
                              <a:cs typeface="+mn-cs"/>
                            </a:rPr>
                          </m:ctrlPr>
                        </m:sSubPr>
                        <m:e>
                          <m:r>
                            <a:rPr lang="es-CO" sz="1200" b="0" i="1">
                              <a:solidFill>
                                <a:schemeClr val="bg1"/>
                              </a:solidFill>
                              <a:effectLst/>
                              <a:latin typeface="Cambria Math" panose="02040503050406030204" pitchFamily="18" charset="0"/>
                              <a:ea typeface="+mn-ea"/>
                              <a:cs typeface="+mn-cs"/>
                            </a:rPr>
                            <m:t>𝑎</m:t>
                          </m:r>
                        </m:e>
                        <m:sub>
                          <m:r>
                            <a:rPr lang="es-CO" sz="1200" b="0" i="1">
                              <a:solidFill>
                                <a:schemeClr val="bg1"/>
                              </a:solidFill>
                              <a:effectLst/>
                              <a:latin typeface="Cambria Math" panose="02040503050406030204" pitchFamily="18" charset="0"/>
                              <a:ea typeface="+mn-ea"/>
                              <a:cs typeface="+mn-cs"/>
                            </a:rPr>
                            <m:t>1</m:t>
                          </m:r>
                        </m:sub>
                      </m:sSub>
                      <m:r>
                        <a:rPr lang="es-CO" sz="1200" b="0" i="1">
                          <a:solidFill>
                            <a:schemeClr val="bg1"/>
                          </a:solidFill>
                          <a:effectLst/>
                          <a:latin typeface="Cambria Math" panose="02040503050406030204" pitchFamily="18" charset="0"/>
                          <a:ea typeface="+mn-ea"/>
                          <a:cs typeface="+mn-cs"/>
                        </a:rPr>
                        <m:t> ∗</m:t>
                      </m:r>
                      <m:r>
                        <a:rPr lang="es-CO" sz="1200" b="0" i="1">
                          <a:solidFill>
                            <a:schemeClr val="bg1"/>
                          </a:solidFill>
                          <a:effectLst/>
                          <a:latin typeface="Cambria Math" panose="02040503050406030204" pitchFamily="18" charset="0"/>
                          <a:ea typeface="+mn-ea"/>
                          <a:cs typeface="+mn-cs"/>
                        </a:rPr>
                        <m:t>𝐼</m:t>
                      </m:r>
                      <m:r>
                        <a:rPr lang="es-CO" sz="1200" b="0" i="1">
                          <a:solidFill>
                            <a:schemeClr val="bg1"/>
                          </a:solidFill>
                          <a:effectLst/>
                          <a:latin typeface="Cambria Math" panose="02040503050406030204" pitchFamily="18" charset="0"/>
                          <a:ea typeface="+mn-ea"/>
                          <a:cs typeface="+mn-cs"/>
                        </a:rPr>
                        <m:t> −</m:t>
                      </m:r>
                      <m:r>
                        <a:rPr lang="es-CO" sz="1200" b="0" i="1">
                          <a:solidFill>
                            <a:schemeClr val="bg1"/>
                          </a:solidFill>
                          <a:effectLst/>
                          <a:latin typeface="Cambria Math" panose="02040503050406030204" pitchFamily="18" charset="0"/>
                          <a:ea typeface="+mn-ea"/>
                          <a:cs typeface="+mn-cs"/>
                        </a:rPr>
                        <m:t>𝐸</m:t>
                      </m:r>
                      <m:r>
                        <a:rPr lang="es-CO" sz="1200" b="0" i="1">
                          <a:solidFill>
                            <a:schemeClr val="bg1"/>
                          </a:solidFill>
                          <a:effectLst/>
                          <a:latin typeface="Cambria Math" panose="02040503050406030204" pitchFamily="18" charset="0"/>
                          <a:ea typeface="+mn-ea"/>
                          <a:cs typeface="+mn-cs"/>
                        </a:rPr>
                        <m:t>)</m:t>
                      </m:r>
                    </m:e>
                    <m:sup>
                      <m:r>
                        <a:rPr lang="es-CO" sz="12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32" name="CuadroTexto 31"/>
            <xdr:cNvSpPr txBox="1"/>
          </xdr:nvSpPr>
          <xdr:spPr>
            <a:xfrm>
              <a:off x="7167328" y="41167356"/>
              <a:ext cx="1109797" cy="255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a:solidFill>
                    <a:schemeClr val="bg1"/>
                  </a:solidFill>
                  <a:effectLst/>
                  <a:ea typeface="+mn-ea"/>
                  <a:cs typeface="+mn-cs"/>
                </a:rPr>
                <a:t>Σ</a:t>
              </a:r>
              <a:r>
                <a:rPr lang="es-CO" sz="1200" b="0" i="0">
                  <a:solidFill>
                    <a:schemeClr val="bg1"/>
                  </a:solidFill>
                  <a:effectLst/>
                  <a:latin typeface="Cambria Math" panose="02040503050406030204" pitchFamily="18" charset="0"/>
                  <a:ea typeface="+mn-ea"/>
                  <a:cs typeface="+mn-cs"/>
                </a:rPr>
                <a:t>𝑝〖(𝑎_1  ∗𝐼 −𝐸)〗^2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8</xdr:col>
      <xdr:colOff>593912</xdr:colOff>
      <xdr:row>111</xdr:row>
      <xdr:rowOff>33620</xdr:rowOff>
    </xdr:from>
    <xdr:ext cx="1916206" cy="313764"/>
    <mc:AlternateContent xmlns:mc="http://schemas.openxmlformats.org/markup-compatibility/2006" xmlns:a14="http://schemas.microsoft.com/office/drawing/2010/main">
      <mc:Choice Requires="a14">
        <xdr:sp macro="" textlink="">
          <xdr:nvSpPr>
            <xdr:cNvPr id="33" name="CuadroTexto 32"/>
            <xdr:cNvSpPr txBox="1"/>
          </xdr:nvSpPr>
          <xdr:spPr>
            <a:xfrm>
              <a:off x="8756837" y="47849120"/>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14:m>
                <m:oMath xmlns:m="http://schemas.openxmlformats.org/officeDocument/2006/math">
                  <m:r>
                    <a:rPr lang="es-CO" sz="1600" i="1" baseline="0">
                      <a:solidFill>
                        <a:schemeClr val="bg1"/>
                      </a:solidFill>
                      <a:latin typeface="Cambria Math" panose="02040503050406030204" pitchFamily="18" charset="0"/>
                    </a:rPr>
                    <m:t>−</m:t>
                  </m:r>
                  <m:r>
                    <a:rPr lang="es-CO" sz="1600" b="0" i="1" baseline="0">
                      <a:solidFill>
                        <a:schemeClr val="bg1"/>
                      </a:solidFill>
                      <a:latin typeface="Cambria Math" panose="02040503050406030204" pitchFamily="18" charset="0"/>
                    </a:rPr>
                    <m:t> </m:t>
                  </m:r>
                  <m:r>
                    <a:rPr lang="es-CO" sz="1600" b="0" i="1" baseline="0">
                      <a:solidFill>
                        <a:schemeClr val="bg1"/>
                      </a:solidFill>
                      <a:latin typeface="Cambria Math" panose="02040503050406030204" pitchFamily="18" charset="0"/>
                      <a:ea typeface="Cambria Math" panose="02040503050406030204" pitchFamily="18" charset="0"/>
                    </a:rPr>
                    <m:t>𝜐</m:t>
                  </m:r>
                  <m:r>
                    <a:rPr lang="es-CO" sz="1600" b="0" i="1" baseline="0">
                      <a:solidFill>
                        <a:schemeClr val="bg1"/>
                      </a:solidFill>
                      <a:latin typeface="Cambria Math" panose="02040503050406030204" pitchFamily="18" charset="0"/>
                      <a:ea typeface="Cambria Math" panose="02040503050406030204" pitchFamily="18" charset="0"/>
                    </a:rPr>
                    <m:t> |≤ </m:t>
                  </m:r>
                  <m:r>
                    <a:rPr lang="es-CO" sz="1600" b="0" i="1" baseline="0">
                      <a:solidFill>
                        <a:schemeClr val="bg1"/>
                      </a:solidFill>
                      <a:latin typeface="Cambria Math" panose="02040503050406030204" pitchFamily="18" charset="0"/>
                      <a:ea typeface="Cambria Math" panose="02040503050406030204" pitchFamily="18" charset="0"/>
                    </a:rPr>
                    <m:t>𝛽</m:t>
                  </m:r>
                  <m:r>
                    <a:rPr lang="es-CO" sz="1600" b="0" i="1" baseline="0">
                      <a:solidFill>
                        <a:schemeClr val="bg1"/>
                      </a:solidFill>
                      <a:latin typeface="Cambria Math" panose="02040503050406030204" pitchFamily="18" charset="0"/>
                      <a:ea typeface="Cambria Math" panose="02040503050406030204" pitchFamily="18" charset="0"/>
                    </a:rPr>
                    <m:t> </m:t>
                  </m:r>
                  <m:rad>
                    <m:radPr>
                      <m:degHide m:val="on"/>
                      <m:ctrlPr>
                        <a:rPr lang="es-CO" sz="1600" b="0" i="1" baseline="0">
                          <a:solidFill>
                            <a:schemeClr val="bg1"/>
                          </a:solidFill>
                          <a:latin typeface="Cambria Math" panose="02040503050406030204" pitchFamily="18" charset="0"/>
                          <a:ea typeface="Cambria Math" panose="02040503050406030204" pitchFamily="18" charset="0"/>
                        </a:rPr>
                      </m:ctrlPr>
                    </m:radPr>
                    <m:deg/>
                    <m:e>
                      <m:r>
                        <a:rPr lang="es-CO" sz="1600" b="0" i="1" baseline="0">
                          <a:solidFill>
                            <a:schemeClr val="bg1"/>
                          </a:solidFill>
                          <a:latin typeface="Cambria Math" panose="02040503050406030204" pitchFamily="18" charset="0"/>
                          <a:ea typeface="Cambria Math" panose="02040503050406030204" pitchFamily="18" charset="0"/>
                        </a:rPr>
                        <m:t>2</m:t>
                      </m:r>
                      <m:r>
                        <a:rPr lang="es-CO" sz="1600" b="0" i="1" baseline="0">
                          <a:solidFill>
                            <a:schemeClr val="bg1"/>
                          </a:solidFill>
                          <a:latin typeface="Cambria Math" panose="02040503050406030204" pitchFamily="18" charset="0"/>
                          <a:ea typeface="Cambria Math" panose="02040503050406030204" pitchFamily="18" charset="0"/>
                        </a:rPr>
                        <m:t>𝜐</m:t>
                      </m:r>
                    </m:e>
                  </m:rad>
                </m:oMath>
              </a14:m>
              <a:endParaRPr lang="es-CO" sz="1600">
                <a:solidFill>
                  <a:schemeClr val="bg1"/>
                </a:solidFill>
              </a:endParaRPr>
            </a:p>
          </xdr:txBody>
        </xdr:sp>
      </mc:Choice>
      <mc:Fallback xmlns="">
        <xdr:sp macro="" textlink="">
          <xdr:nvSpPr>
            <xdr:cNvPr id="33" name="CuadroTexto 32"/>
            <xdr:cNvSpPr txBox="1"/>
          </xdr:nvSpPr>
          <xdr:spPr>
            <a:xfrm>
              <a:off x="8756837" y="47849120"/>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r>
                <a:rPr lang="es-CO" sz="1600" i="0" baseline="0">
                  <a:solidFill>
                    <a:schemeClr val="bg1"/>
                  </a:solidFill>
                  <a:latin typeface="Cambria Math" panose="02040503050406030204" pitchFamily="18" charset="0"/>
                </a:rPr>
                <a:t>−</a:t>
              </a:r>
              <a:r>
                <a:rPr lang="es-CO" sz="1600" b="0" i="0" baseline="0">
                  <a:solidFill>
                    <a:schemeClr val="bg1"/>
                  </a:solidFill>
                  <a:latin typeface="Cambria Math" panose="02040503050406030204" pitchFamily="18" charset="0"/>
                </a:rPr>
                <a:t> </a:t>
              </a:r>
              <a:r>
                <a:rPr lang="es-CO" sz="1600" b="0" i="0" baseline="0">
                  <a:solidFill>
                    <a:schemeClr val="bg1"/>
                  </a:solidFill>
                  <a:latin typeface="Cambria Math" panose="02040503050406030204" pitchFamily="18" charset="0"/>
                  <a:ea typeface="Cambria Math" panose="02040503050406030204" pitchFamily="18" charset="0"/>
                </a:rPr>
                <a:t>𝜐 |≤ 𝛽 √2𝜐</a:t>
              </a:r>
              <a:endParaRPr lang="es-CO" sz="1600">
                <a:solidFill>
                  <a:schemeClr val="bg1"/>
                </a:solidFill>
              </a:endParaRPr>
            </a:p>
          </xdr:txBody>
        </xdr:sp>
      </mc:Fallback>
    </mc:AlternateContent>
    <xdr:clientData/>
  </xdr:oneCellAnchor>
  <xdr:oneCellAnchor>
    <xdr:from>
      <xdr:col>2</xdr:col>
      <xdr:colOff>119816</xdr:colOff>
      <xdr:row>127</xdr:row>
      <xdr:rowOff>172452</xdr:rowOff>
    </xdr:from>
    <xdr:ext cx="695324" cy="190500"/>
    <mc:AlternateContent xmlns:mc="http://schemas.openxmlformats.org/markup-compatibility/2006" xmlns:a14="http://schemas.microsoft.com/office/drawing/2010/main">
      <mc:Choice Requires="a14">
        <xdr:sp macro="" textlink="">
          <xdr:nvSpPr>
            <xdr:cNvPr id="35" name="CuadroTexto 34"/>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𝑎</m:t>
                        </m:r>
                      </m:e>
                      <m:sub>
                        <m:r>
                          <a:rPr lang="es-CO" sz="1100" b="0" i="1">
                            <a:latin typeface="Cambria Math" panose="02040503050406030204" pitchFamily="18" charset="0"/>
                          </a:rPr>
                          <m:t>1</m:t>
                        </m:r>
                      </m:sub>
                    </m:sSub>
                    <m:r>
                      <a:rPr lang="es-CO" sz="1100" b="0" i="1">
                        <a:latin typeface="Cambria Math" panose="02040503050406030204" pitchFamily="18" charset="0"/>
                      </a:rPr>
                      <m:t> ∗ </m:t>
                    </m:r>
                    <m:sSup>
                      <m:sSupPr>
                        <m:ctrlPr>
                          <a:rPr lang="es-CO" sz="1100" b="0" i="1">
                            <a:latin typeface="Cambria Math" panose="02040503050406030204" pitchFamily="18" charset="0"/>
                          </a:rPr>
                        </m:ctrlPr>
                      </m:sSupPr>
                      <m:e>
                        <m:r>
                          <m:rPr>
                            <m:nor/>
                          </m:rPr>
                          <a:rPr lang="es-CO" sz="1100" b="0" i="1">
                            <a:latin typeface="Cambria Math" panose="02040503050406030204" pitchFamily="18" charset="0"/>
                          </a:rPr>
                          <m:t>u</m:t>
                        </m:r>
                      </m:e>
                      <m:sup>
                        <m:r>
                          <a:rPr lang="es-CO" sz="1100" b="0" i="1">
                            <a:latin typeface="Cambria Math" panose="02040503050406030204" pitchFamily="18" charset="0"/>
                          </a:rPr>
                          <m:t>2</m:t>
                        </m:r>
                      </m:sup>
                    </m:sSup>
                    <m:r>
                      <a:rPr lang="es-CO" sz="1100" b="0" i="1">
                        <a:latin typeface="Cambria Math" panose="02040503050406030204" pitchFamily="18" charset="0"/>
                      </a:rPr>
                      <m:t>(</m:t>
                    </m:r>
                    <m:r>
                      <a:rPr lang="es-CO" sz="1100" b="0" i="1">
                        <a:latin typeface="Cambria Math" panose="02040503050406030204" pitchFamily="18" charset="0"/>
                      </a:rPr>
                      <m:t>𝑅</m:t>
                    </m:r>
                    <m:r>
                      <a:rPr lang="es-CO" sz="1100" b="0" i="1">
                        <a:latin typeface="Cambria Math" panose="02040503050406030204" pitchFamily="18" charset="0"/>
                      </a:rPr>
                      <m:t>)</m:t>
                    </m:r>
                  </m:oMath>
                </m:oMathPara>
              </a14:m>
              <a:endParaRPr lang="es-CO" sz="1100" b="0" i="1">
                <a:latin typeface="Times New Roman" panose="02020603050405020304" pitchFamily="18" charset="0"/>
                <a:cs typeface="Times New Roman" panose="02020603050405020304" pitchFamily="18" charset="0"/>
              </a:endParaRPr>
            </a:p>
          </xdr:txBody>
        </xdr:sp>
      </mc:Choice>
      <mc:Fallback xmlns="">
        <xdr:sp macro="" textlink="">
          <xdr:nvSpPr>
            <xdr:cNvPr id="35" name="CuadroTexto 34"/>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Cambria Math" panose="02040503050406030204" pitchFamily="18" charset="0"/>
                </a:rPr>
                <a:t>𝑎_1  ∗ "u" ^2 (𝑅)</a:t>
              </a:r>
              <a:endParaRPr lang="es-CO" sz="1100" b="0"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9</xdr:col>
      <xdr:colOff>359019</xdr:colOff>
      <xdr:row>51</xdr:row>
      <xdr:rowOff>140678</xdr:rowOff>
    </xdr:from>
    <xdr:ext cx="358487" cy="175113"/>
    <mc:AlternateContent xmlns:mc="http://schemas.openxmlformats.org/markup-compatibility/2006" xmlns:a14="http://schemas.microsoft.com/office/drawing/2010/main">
      <mc:Choice Requires="a14">
        <xdr:sp macro="" textlink="">
          <xdr:nvSpPr>
            <xdr:cNvPr id="36" name="CuadroTexto 35"/>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36" name="CuadroTexto 35"/>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3</xdr:col>
      <xdr:colOff>554005</xdr:colOff>
      <xdr:row>82</xdr:row>
      <xdr:rowOff>82614</xdr:rowOff>
    </xdr:from>
    <xdr:ext cx="595611" cy="185628"/>
    <mc:AlternateContent xmlns:mc="http://schemas.openxmlformats.org/markup-compatibility/2006" xmlns:a14="http://schemas.microsoft.com/office/drawing/2010/main">
      <mc:Choice Requires="a14">
        <xdr:sp macro="" textlink="">
          <xdr:nvSpPr>
            <xdr:cNvPr id="37" name="CuadroTexto 36"/>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7" name="CuadroTexto 36"/>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endParaRPr lang="es-CO" sz="1100"/>
            </a:p>
          </xdr:txBody>
        </xdr:sp>
      </mc:Fallback>
    </mc:AlternateContent>
    <xdr:clientData/>
  </xdr:oneCellAnchor>
  <xdr:oneCellAnchor>
    <xdr:from>
      <xdr:col>3</xdr:col>
      <xdr:colOff>564114</xdr:colOff>
      <xdr:row>84</xdr:row>
      <xdr:rowOff>116827</xdr:rowOff>
    </xdr:from>
    <xdr:ext cx="611065" cy="185628"/>
    <mc:AlternateContent xmlns:mc="http://schemas.openxmlformats.org/markup-compatibility/2006" xmlns:a14="http://schemas.microsoft.com/office/drawing/2010/main">
      <mc:Choice Requires="a14">
        <xdr:sp macro="" textlink="">
          <xdr:nvSpPr>
            <xdr:cNvPr id="38" name="CuadroTexto 37"/>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8" name="CuadroTexto 37"/>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endParaRPr lang="es-CO" sz="1100"/>
            </a:p>
          </xdr:txBody>
        </xdr:sp>
      </mc:Fallback>
    </mc:AlternateContent>
    <xdr:clientData/>
  </xdr:oneCellAnchor>
  <xdr:oneCellAnchor>
    <xdr:from>
      <xdr:col>3</xdr:col>
      <xdr:colOff>795049</xdr:colOff>
      <xdr:row>87</xdr:row>
      <xdr:rowOff>97194</xdr:rowOff>
    </xdr:from>
    <xdr:ext cx="591764" cy="183127"/>
    <mc:AlternateContent xmlns:mc="http://schemas.openxmlformats.org/markup-compatibility/2006" xmlns:a14="http://schemas.microsoft.com/office/drawing/2010/main">
      <mc:Choice Requires="a14">
        <xdr:sp macro="" textlink="">
          <xdr:nvSpPr>
            <xdr:cNvPr id="39" name="CuadroTexto 38"/>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oMath>
                </m:oMathPara>
              </a14:m>
              <a:endParaRPr lang="es-CO" sz="1400"/>
            </a:p>
          </xdr:txBody>
        </xdr:sp>
      </mc:Choice>
      <mc:Fallback xmlns="">
        <xdr:sp macro="" textlink="">
          <xdr:nvSpPr>
            <xdr:cNvPr id="39" name="CuadroTexto 38"/>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endParaRPr lang="es-CO" sz="1400"/>
            </a:p>
          </xdr:txBody>
        </xdr:sp>
      </mc:Fallback>
    </mc:AlternateContent>
    <xdr:clientData/>
  </xdr:oneCellAnchor>
  <xdr:oneCellAnchor>
    <xdr:from>
      <xdr:col>3</xdr:col>
      <xdr:colOff>814484</xdr:colOff>
      <xdr:row>88</xdr:row>
      <xdr:rowOff>116632</xdr:rowOff>
    </xdr:from>
    <xdr:ext cx="592533" cy="185628"/>
    <mc:AlternateContent xmlns:mc="http://schemas.openxmlformats.org/markup-compatibility/2006" xmlns:a14="http://schemas.microsoft.com/office/drawing/2010/main">
      <mc:Choice Requires="a14">
        <xdr:sp macro="" textlink="">
          <xdr:nvSpPr>
            <xdr:cNvPr id="40" name="CuadroTexto 39"/>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0" name="CuadroTexto 39"/>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endParaRPr lang="es-CO">
                <a:effectLst/>
              </a:endParaRPr>
            </a:p>
          </xdr:txBody>
        </xdr:sp>
      </mc:Fallback>
    </mc:AlternateContent>
    <xdr:clientData/>
  </xdr:oneCellAnchor>
  <xdr:oneCellAnchor>
    <xdr:from>
      <xdr:col>3</xdr:col>
      <xdr:colOff>781433</xdr:colOff>
      <xdr:row>89</xdr:row>
      <xdr:rowOff>116632</xdr:rowOff>
    </xdr:from>
    <xdr:ext cx="596189" cy="185628"/>
    <mc:AlternateContent xmlns:mc="http://schemas.openxmlformats.org/markup-compatibility/2006" xmlns:a14="http://schemas.microsoft.com/office/drawing/2010/main">
      <mc:Choice Requires="a14">
        <xdr:sp macro="" textlink="">
          <xdr:nvSpPr>
            <xdr:cNvPr id="41" name="CuadroTexto 40"/>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1" name="CuadroTexto 40"/>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endParaRPr lang="es-CO">
                <a:effectLst/>
              </a:endParaRPr>
            </a:p>
          </xdr:txBody>
        </xdr:sp>
      </mc:Fallback>
    </mc:AlternateContent>
    <xdr:clientData/>
  </xdr:oneCellAnchor>
  <xdr:oneCellAnchor>
    <xdr:from>
      <xdr:col>3</xdr:col>
      <xdr:colOff>523875</xdr:colOff>
      <xdr:row>83</xdr:row>
      <xdr:rowOff>95250</xdr:rowOff>
    </xdr:from>
    <xdr:ext cx="1267335" cy="183127"/>
    <mc:AlternateContent xmlns:mc="http://schemas.openxmlformats.org/markup-compatibility/2006" xmlns:a14="http://schemas.microsoft.com/office/drawing/2010/main">
      <mc:Choice Requires="a14">
        <xdr:sp macro="" textlink="">
          <xdr:nvSpPr>
            <xdr:cNvPr id="42" name="CuadroTexto 41"/>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𝑟𝑒𝑝</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𝑛</m:t>
                    </m:r>
                    <m:r>
                      <a:rPr lang="es-CO" sz="1100" b="0" i="1">
                        <a:solidFill>
                          <a:schemeClr val="tx1"/>
                        </a:solidFill>
                        <a:effectLst/>
                        <a:latin typeface="Cambria Math" panose="02040503050406030204" pitchFamily="18" charset="0"/>
                        <a:ea typeface="+mn-ea"/>
                        <a:cs typeface="+mn-cs"/>
                      </a:rPr>
                      <m:t> −1   </m:t>
                    </m:r>
                  </m:oMath>
                </m:oMathPara>
              </a14:m>
              <a:endParaRPr lang="es-CO" sz="1100"/>
            </a:p>
          </xdr:txBody>
        </xdr:sp>
      </mc:Choice>
      <mc:Fallback xmlns="">
        <xdr:sp macro="" textlink="">
          <xdr:nvSpPr>
            <xdr:cNvPr id="42" name="CuadroTexto 41"/>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(𝑟𝑒𝑝)=𝑛 −1   </a:t>
              </a:r>
              <a:endParaRPr lang="es-CO" sz="1100"/>
            </a:p>
          </xdr:txBody>
        </xdr:sp>
      </mc:Fallback>
    </mc:AlternateContent>
    <xdr:clientData/>
  </xdr:oneCellAnchor>
  <xdr:twoCellAnchor>
    <xdr:from>
      <xdr:col>0</xdr:col>
      <xdr:colOff>95251</xdr:colOff>
      <xdr:row>118</xdr:row>
      <xdr:rowOff>67235</xdr:rowOff>
    </xdr:from>
    <xdr:to>
      <xdr:col>8</xdr:col>
      <xdr:colOff>974913</xdr:colOff>
      <xdr:row>125</xdr:row>
      <xdr:rowOff>425823</xdr:rowOff>
    </xdr:to>
    <xdr:graphicFrame macro="">
      <xdr:nvGraphicFramePr>
        <xdr:cNvPr id="43" name="Gráfico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557894</xdr:colOff>
      <xdr:row>30</xdr:row>
      <xdr:rowOff>273150</xdr:rowOff>
    </xdr:from>
    <xdr:to>
      <xdr:col>11</xdr:col>
      <xdr:colOff>642738</xdr:colOff>
      <xdr:row>35</xdr:row>
      <xdr:rowOff>217712</xdr:rowOff>
    </xdr:to>
    <xdr:pic>
      <xdr:nvPicPr>
        <xdr:cNvPr id="44" name="Imagen 43"/>
        <xdr:cNvPicPr>
          <a:picLocks noChangeAspect="1" noChangeArrowheads="1"/>
        </xdr:cNvPicPr>
      </xdr:nvPicPr>
      <xdr:blipFill>
        <a:blip xmlns:r="http://schemas.openxmlformats.org/officeDocument/2006/relationships" r:embed="rId2">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8368394" y="11961686"/>
          <a:ext cx="4547987" cy="2121705"/>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1</xdr:col>
      <xdr:colOff>304800</xdr:colOff>
      <xdr:row>56</xdr:row>
      <xdr:rowOff>95983</xdr:rowOff>
    </xdr:from>
    <xdr:ext cx="65" cy="172227"/>
    <xdr:sp macro="" textlink="">
      <xdr:nvSpPr>
        <xdr:cNvPr id="51" name="CuadroTexto 50"/>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304800</xdr:colOff>
      <xdr:row>56</xdr:row>
      <xdr:rowOff>95983</xdr:rowOff>
    </xdr:from>
    <xdr:ext cx="65" cy="172227"/>
    <xdr:sp macro="" textlink="">
      <xdr:nvSpPr>
        <xdr:cNvPr id="52" name="CuadroTexto 51"/>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xdr:col>
      <xdr:colOff>462643</xdr:colOff>
      <xdr:row>51</xdr:row>
      <xdr:rowOff>136073</xdr:rowOff>
    </xdr:from>
    <xdr:ext cx="381000" cy="163285"/>
    <mc:AlternateContent xmlns:mc="http://schemas.openxmlformats.org/markup-compatibility/2006" xmlns:a14="http://schemas.microsoft.com/office/drawing/2010/main">
      <mc:Choice Requires="a14">
        <xdr:sp macro="" textlink="">
          <xdr:nvSpPr>
            <xdr:cNvPr id="53" name="CuadroTexto 52"/>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baseline="0">
                      <a:latin typeface="Cambria Math" panose="02040503050406030204" pitchFamily="18" charset="0"/>
                    </a:rPr>
                    <m:t> </m:t>
                  </m:r>
                  <m:r>
                    <a:rPr lang="es-CO" sz="1100" b="0" i="1">
                      <a:latin typeface="Cambria Math" panose="02040503050406030204" pitchFamily="18" charset="0"/>
                    </a:rPr>
                    <m:t>𝑔</m:t>
                  </m:r>
                </m:oMath>
              </a14:m>
              <a:endParaRPr lang="es-CO" sz="1100"/>
            </a:p>
          </xdr:txBody>
        </xdr:sp>
      </mc:Choice>
      <mc:Fallback xmlns="">
        <xdr:sp macro="" textlink="">
          <xdr:nvSpPr>
            <xdr:cNvPr id="53" name="CuadroTexto 52"/>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 </a:t>
              </a:r>
              <a:r>
                <a:rPr lang="es-CO" sz="1100" b="0" i="0">
                  <a:latin typeface="Cambria Math" panose="02040503050406030204" pitchFamily="18" charset="0"/>
                </a:rPr>
                <a:t>𝑔</a:t>
              </a:r>
              <a:endParaRPr lang="es-CO" sz="1100"/>
            </a:p>
          </xdr:txBody>
        </xdr:sp>
      </mc:Fallback>
    </mc:AlternateContent>
    <xdr:clientData/>
  </xdr:oneCellAnchor>
  <xdr:oneCellAnchor>
    <xdr:from>
      <xdr:col>4</xdr:col>
      <xdr:colOff>462642</xdr:colOff>
      <xdr:row>51</xdr:row>
      <xdr:rowOff>122464</xdr:rowOff>
    </xdr:from>
    <xdr:ext cx="381000" cy="163285"/>
    <mc:AlternateContent xmlns:mc="http://schemas.openxmlformats.org/markup-compatibility/2006" xmlns:a14="http://schemas.microsoft.com/office/drawing/2010/main">
      <mc:Choice Requires="a14">
        <xdr:sp macro="" textlink="">
          <xdr:nvSpPr>
            <xdr:cNvPr id="58" name="CuadroTexto 57"/>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a:latin typeface="Cambria Math" panose="02040503050406030204" pitchFamily="18" charset="0"/>
                    </a:rPr>
                    <m:t>𝑚𝑔</m:t>
                  </m:r>
                </m:oMath>
              </a14:m>
              <a:endParaRPr lang="es-CO" sz="1100"/>
            </a:p>
          </xdr:txBody>
        </xdr:sp>
      </mc:Choice>
      <mc:Fallback xmlns="">
        <xdr:sp macro="" textlink="">
          <xdr:nvSpPr>
            <xdr:cNvPr id="58" name="CuadroTexto 57"/>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a:t>
              </a:r>
              <a:r>
                <a:rPr lang="es-CO" sz="1100" b="0" i="0">
                  <a:latin typeface="Cambria Math" panose="02040503050406030204" pitchFamily="18" charset="0"/>
                </a:rPr>
                <a:t>𝑚𝑔</a:t>
              </a:r>
              <a:endParaRPr lang="es-CO" sz="1100"/>
            </a:p>
          </xdr:txBody>
        </xdr:sp>
      </mc:Fallback>
    </mc:AlternateContent>
    <xdr:clientData/>
  </xdr:oneCellAnchor>
  <xdr:twoCellAnchor>
    <xdr:from>
      <xdr:col>0</xdr:col>
      <xdr:colOff>133350</xdr:colOff>
      <xdr:row>0</xdr:row>
      <xdr:rowOff>171450</xdr:rowOff>
    </xdr:from>
    <xdr:to>
      <xdr:col>1</xdr:col>
      <xdr:colOff>1009650</xdr:colOff>
      <xdr:row>2</xdr:row>
      <xdr:rowOff>272895</xdr:rowOff>
    </xdr:to>
    <xdr:pic>
      <xdr:nvPicPr>
        <xdr:cNvPr id="50" name="Picture 1" descr="\\Abeltran\publico\Logo completo.gif"/>
        <xdr:cNvPicPr>
          <a:picLocks noChangeAspect="1" noChangeArrowheads="1"/>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133350" y="171450"/>
          <a:ext cx="1990725" cy="977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198560</xdr:colOff>
      <xdr:row>70</xdr:row>
      <xdr:rowOff>116498</xdr:rowOff>
    </xdr:from>
    <xdr:to>
      <xdr:col>5</xdr:col>
      <xdr:colOff>609376</xdr:colOff>
      <xdr:row>75</xdr:row>
      <xdr:rowOff>112481</xdr:rowOff>
    </xdr:to>
    <xdr:pic>
      <xdr:nvPicPr>
        <xdr:cNvPr id="2" name="Imagen 1"/>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3503002" y="16308998"/>
          <a:ext cx="2397370" cy="1182912"/>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257174</xdr:colOff>
      <xdr:row>156</xdr:row>
      <xdr:rowOff>133350</xdr:rowOff>
    </xdr:from>
    <xdr:ext cx="295275" cy="375680"/>
    <xdr:sp macro="" textlink="">
      <xdr:nvSpPr>
        <xdr:cNvPr id="3" name="CuadroTexto 2"/>
        <xdr:cNvSpPr txBox="1"/>
      </xdr:nvSpPr>
      <xdr:spPr>
        <a:xfrm>
          <a:off x="257174" y="36947475"/>
          <a:ext cx="295275"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s-CO" sz="2400"/>
        </a:p>
      </xdr:txBody>
    </xdr:sp>
    <xdr:clientData/>
  </xdr:oneCellAnchor>
  <xdr:twoCellAnchor>
    <xdr:from>
      <xdr:col>0</xdr:col>
      <xdr:colOff>198785</xdr:colOff>
      <xdr:row>121</xdr:row>
      <xdr:rowOff>157368</xdr:rowOff>
    </xdr:from>
    <xdr:to>
      <xdr:col>5</xdr:col>
      <xdr:colOff>704024</xdr:colOff>
      <xdr:row>137</xdr:row>
      <xdr:rowOff>157369</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304800</xdr:colOff>
      <xdr:row>184</xdr:row>
      <xdr:rowOff>95983</xdr:rowOff>
    </xdr:from>
    <xdr:ext cx="65" cy="172227"/>
    <xdr:sp macro="" textlink="">
      <xdr:nvSpPr>
        <xdr:cNvPr id="12" name="CuadroTexto 11"/>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304800</xdr:colOff>
      <xdr:row>184</xdr:row>
      <xdr:rowOff>95983</xdr:rowOff>
    </xdr:from>
    <xdr:ext cx="65" cy="172227"/>
    <xdr:sp macro="" textlink="">
      <xdr:nvSpPr>
        <xdr:cNvPr id="13" name="CuadroTexto 12"/>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223009</xdr:colOff>
      <xdr:row>156</xdr:row>
      <xdr:rowOff>37892</xdr:rowOff>
    </xdr:from>
    <xdr:ext cx="2243138" cy="264496"/>
    <mc:AlternateContent xmlns:mc="http://schemas.openxmlformats.org/markup-compatibility/2006" xmlns:a14="http://schemas.microsoft.com/office/drawing/2010/main">
      <mc:Choice Requires="a14">
        <xdr:sp macro="" textlink="">
          <xdr:nvSpPr>
            <xdr:cNvPr id="9" name="CuadroTexto 8"/>
            <xdr:cNvSpPr txBox="1"/>
          </xdr:nvSpPr>
          <xdr:spPr>
            <a:xfrm>
              <a:off x="223009" y="30708392"/>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14:m>
                <m:oMath xmlns:m="http://schemas.openxmlformats.org/officeDocument/2006/math">
                  <m:d>
                    <m:dPr>
                      <m:ctrlPr>
                        <a:rPr lang="es-CO" sz="1400" b="1" i="1">
                          <a:solidFill>
                            <a:schemeClr val="tx1"/>
                          </a:solidFill>
                          <a:effectLst/>
                          <a:latin typeface="Cambria Math" panose="02040503050406030204" pitchFamily="18" charset="0"/>
                          <a:ea typeface="+mn-ea"/>
                          <a:cs typeface="+mn-cs"/>
                        </a:rPr>
                      </m:ctrlPr>
                    </m:dPr>
                    <m:e>
                      <m:sSup>
                        <m:sSupPr>
                          <m:ctrlPr>
                            <a:rPr lang="es-CO" sz="1400" b="1" i="1">
                              <a:solidFill>
                                <a:schemeClr val="tx1"/>
                              </a:solidFill>
                              <a:effectLst/>
                              <a:latin typeface="Cambria Math" panose="02040503050406030204" pitchFamily="18" charset="0"/>
                              <a:ea typeface="+mn-ea"/>
                              <a:cs typeface="+mn-cs"/>
                            </a:rPr>
                          </m:ctrlPr>
                        </m:sSupPr>
                        <m:e>
                          <m:r>
                            <a:rPr lang="es-CO" sz="1400" b="1" i="1">
                              <a:solidFill>
                                <a:schemeClr val="tx1"/>
                              </a:solidFill>
                              <a:effectLst/>
                              <a:latin typeface="Cambria Math" panose="02040503050406030204" pitchFamily="18" charset="0"/>
                              <a:ea typeface="+mn-ea"/>
                              <a:cs typeface="+mn-cs"/>
                            </a:rPr>
                            <m:t>𝑾</m:t>
                          </m:r>
                        </m:e>
                        <m:sup>
                          <m:r>
                            <a:rPr lang="es-CO" sz="1400" b="1" i="1">
                              <a:solidFill>
                                <a:schemeClr val="tx1"/>
                              </a:solidFill>
                              <a:effectLst/>
                              <a:latin typeface="Cambria Math" panose="02040503050406030204" pitchFamily="18" charset="0"/>
                              <a:ea typeface="+mn-ea"/>
                              <a:cs typeface="+mn-cs"/>
                            </a:rPr>
                            <m:t>∗</m:t>
                          </m:r>
                        </m:sup>
                      </m:sSup>
                    </m:e>
                  </m:d>
                  <m:r>
                    <a:rPr lang="es-CO" sz="1400" b="1" i="1">
                      <a:solidFill>
                        <a:schemeClr val="tx1"/>
                      </a:solidFill>
                      <a:effectLst/>
                      <a:latin typeface="Cambria Math" panose="02040503050406030204" pitchFamily="18" charset="0"/>
                      <a:ea typeface="+mn-ea"/>
                      <a:cs typeface="+mn-cs"/>
                    </a:rPr>
                    <m:t>+</m:t>
                  </m:r>
                  <m:r>
                    <a:rPr lang="es-CO" sz="1400" b="1" i="1">
                      <a:latin typeface="Cambria Math" panose="02040503050406030204" pitchFamily="18" charset="0"/>
                    </a:rPr>
                    <m:t>=</m:t>
                  </m:r>
                  <m:rad>
                    <m:radPr>
                      <m:degHide m:val="on"/>
                      <m:ctrlPr>
                        <a:rPr lang="es-CO" sz="1400" b="1" i="1">
                          <a:latin typeface="Cambria Math" panose="02040503050406030204" pitchFamily="18" charset="0"/>
                        </a:rPr>
                      </m:ctrlPr>
                    </m:radPr>
                    <m:deg/>
                    <m:e>
                      <m:sSup>
                        <m:sSupPr>
                          <m:ctrlPr>
                            <a:rPr lang="es-CO" sz="1400" b="1" i="1">
                              <a:latin typeface="Cambria Math" panose="02040503050406030204" pitchFamily="18" charset="0"/>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𝑬</m:t>
                          </m:r>
                        </m:e>
                      </m:d>
                      <m:r>
                        <a:rPr lang="es-CO" sz="1400" b="1" i="1">
                          <a:latin typeface="Cambria Math" panose="02040503050406030204" pitchFamily="18" charset="0"/>
                        </a:rPr>
                        <m:t>+</m:t>
                      </m:r>
                      <m:sSup>
                        <m:sSupPr>
                          <m:ctrlPr>
                            <a:rPr lang="es-CO" sz="1400" b="1" i="1">
                              <a:latin typeface="Cambria Math" panose="02040503050406030204" pitchFamily="18" charset="0"/>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𝑹</m:t>
                          </m:r>
                        </m:e>
                      </m:d>
                    </m:e>
                  </m:rad>
                </m:oMath>
              </a14:m>
              <a:endParaRPr lang="es-CO" sz="1400" b="1" i="1"/>
            </a:p>
          </xdr:txBody>
        </xdr:sp>
      </mc:Choice>
      <mc:Fallback xmlns="">
        <xdr:sp macro="" textlink="">
          <xdr:nvSpPr>
            <xdr:cNvPr id="9" name="CuadroTexto 8"/>
            <xdr:cNvSpPr txBox="1"/>
          </xdr:nvSpPr>
          <xdr:spPr>
            <a:xfrm>
              <a:off x="223009" y="30708392"/>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r>
                <a:rPr lang="es-CO" sz="1400" b="1" i="0">
                  <a:solidFill>
                    <a:schemeClr val="tx1"/>
                  </a:solidFill>
                  <a:effectLst/>
                  <a:latin typeface="Cambria Math" panose="02040503050406030204" pitchFamily="18" charset="0"/>
                  <a:ea typeface="+mn-ea"/>
                  <a:cs typeface="+mn-cs"/>
                </a:rPr>
                <a:t>(𝑾^∗ )+</a:t>
              </a:r>
              <a:r>
                <a:rPr lang="es-CO" sz="1400" b="1" i="0">
                  <a:latin typeface="Cambria Math" panose="02040503050406030204" pitchFamily="18" charset="0"/>
                </a:rPr>
                <a:t>=√(𝒖^𝟐 (𝑬)+𝒖^𝟐 (𝑹) )</a:t>
              </a:r>
              <a:endParaRPr lang="es-CO" sz="1400" b="1" i="1"/>
            </a:p>
          </xdr:txBody>
        </xdr:sp>
      </mc:Fallback>
    </mc:AlternateContent>
    <xdr:clientData/>
  </xdr:oneCellAnchor>
  <xdr:oneCellAnchor>
    <xdr:from>
      <xdr:col>3</xdr:col>
      <xdr:colOff>3728</xdr:colOff>
      <xdr:row>155</xdr:row>
      <xdr:rowOff>115957</xdr:rowOff>
    </xdr:from>
    <xdr:ext cx="2028063" cy="523875"/>
    <mc:AlternateContent xmlns:mc="http://schemas.openxmlformats.org/markup-compatibility/2006" xmlns:a14="http://schemas.microsoft.com/office/drawing/2010/main">
      <mc:Choice Requires="a14">
        <xdr:sp macro="" textlink="">
          <xdr:nvSpPr>
            <xdr:cNvPr id="10" name="CuadroTexto 9"/>
            <xdr:cNvSpPr txBox="1"/>
          </xdr:nvSpPr>
          <xdr:spPr>
            <a:xfrm>
              <a:off x="2935771" y="30595957"/>
              <a:ext cx="2028063"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400" b="1" i="1">
                            <a:latin typeface="Cambria Math" panose="02040503050406030204" pitchFamily="18" charset="0"/>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𝑹</m:t>
                        </m:r>
                      </m:e>
                    </m:d>
                    <m:r>
                      <a:rPr lang="es-CO" sz="1400" b="1" i="1">
                        <a:latin typeface="Cambria Math" panose="02040503050406030204" pitchFamily="18" charset="0"/>
                      </a:rPr>
                      <m:t>=</m:t>
                    </m:r>
                    <m:f>
                      <m:fPr>
                        <m:ctrlPr>
                          <a:rPr lang="es-CO" sz="1400" b="1" i="1">
                            <a:latin typeface="Cambria Math" panose="02040503050406030204" pitchFamily="18" charset="0"/>
                          </a:rPr>
                        </m:ctrlPr>
                      </m:fPr>
                      <m:num>
                        <m:sSup>
                          <m:sSupPr>
                            <m:ctrlPr>
                              <a:rPr lang="es-CO" sz="1400" b="1" i="1">
                                <a:latin typeface="Cambria Math" panose="02040503050406030204" pitchFamily="18" charset="0"/>
                              </a:rPr>
                            </m:ctrlPr>
                          </m:sSupPr>
                          <m:e>
                            <m:r>
                              <a:rPr lang="es-CO" sz="1400" b="1" i="1">
                                <a:latin typeface="Cambria Math" panose="02040503050406030204" pitchFamily="18" charset="0"/>
                              </a:rPr>
                              <m:t>𝒅</m:t>
                            </m:r>
                          </m:e>
                          <m:sup>
                            <m:r>
                              <a:rPr lang="es-CO" sz="1400" b="1" i="1">
                                <a:latin typeface="Cambria Math" panose="02040503050406030204" pitchFamily="18" charset="0"/>
                              </a:rPr>
                              <m:t>𝟐</m:t>
                            </m:r>
                          </m:sup>
                        </m:sSup>
                      </m:num>
                      <m:den>
                        <m:r>
                          <a:rPr lang="es-CO" sz="1400" b="1" i="1">
                            <a:latin typeface="Cambria Math" panose="02040503050406030204" pitchFamily="18" charset="0"/>
                          </a:rPr>
                          <m:t>𝟔</m:t>
                        </m:r>
                      </m:den>
                    </m:f>
                    <m:r>
                      <a:rPr lang="es-CO" sz="1400" b="1" i="1">
                        <a:latin typeface="Cambria Math" panose="02040503050406030204" pitchFamily="18" charset="0"/>
                      </a:rPr>
                      <m:t>+</m:t>
                    </m:r>
                    <m:sSup>
                      <m:sSupPr>
                        <m:ctrlPr>
                          <a:rPr lang="es-CO" sz="1400" b="1" i="1">
                            <a:latin typeface="Cambria Math" panose="02040503050406030204" pitchFamily="18" charset="0"/>
                          </a:rPr>
                        </m:ctrlPr>
                      </m:sSupPr>
                      <m:e>
                        <m:r>
                          <a:rPr lang="es-CO" sz="1400" b="1" i="1">
                            <a:latin typeface="Cambria Math" panose="02040503050406030204" pitchFamily="18" charset="0"/>
                          </a:rPr>
                          <m:t>𝒔</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𝑹</m:t>
                        </m:r>
                      </m:e>
                    </m:d>
                  </m:oMath>
                </m:oMathPara>
              </a14:m>
              <a:endParaRPr lang="es-CO" sz="1400" b="1"/>
            </a:p>
          </xdr:txBody>
        </xdr:sp>
      </mc:Choice>
      <mc:Fallback xmlns="">
        <xdr:sp macro="" textlink="">
          <xdr:nvSpPr>
            <xdr:cNvPr id="10" name="CuadroTexto 9"/>
            <xdr:cNvSpPr txBox="1"/>
          </xdr:nvSpPr>
          <xdr:spPr>
            <a:xfrm>
              <a:off x="2935771" y="30595957"/>
              <a:ext cx="2028063"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b="1" i="0">
                  <a:latin typeface="Cambria Math" panose="02040503050406030204" pitchFamily="18" charset="0"/>
                </a:rPr>
                <a:t>𝒖^𝟐 (𝑹)=𝒅^𝟐/𝟔+𝒔^𝟐 (𝑹)</a:t>
              </a:r>
              <a:endParaRPr lang="es-CO" sz="1400" b="1"/>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aguirre/Desktop/Directos/Funcionarios/SISTEMA%20GESTION%20DE%20CALIDAD/Laboratorios%20de%20masas%20y%20volumen%20(RT03)/Calibraciones%20Balanzas/Calibraciones%20casa%20consumidor%20Popayan/CER%200.012%20Casa%20del%20Consumidor%20Popay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irectos\Funcionarios\SISTEMA%20GESTION%20DE%20CALIDAD\Laboratorios%20de%20masas%20y%20volumen%20(RT03)\Calibraciones%20Balanzas\Calibraciones%20casa%20consumidor%20Popayan\CER%200.009%20Casa%20del%20Consumidor%20Popay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VARGAS/Desktop/hoja%20balanzas/CERTIFICADO%200008%20Pedro%20Vargas%20Barranquilla%20(Autoguard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irectos\Funcionarios\SISTEMA%20GESTION%20DE%20CALIDAD\Laboratorios%20de%20masas%20y%20volumen%20(RT03)\Calibraciones%20Balanzas\Calibraci&#243;n%20casa%20del%20consumidor%20Pasto\CER%200.012%20Casa%20del%20Consumidor%20Pa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efreshError="1"/>
      <sheetData sheetId="1" refreshError="1"/>
      <sheetData sheetId="2" refreshError="1"/>
      <sheetData sheetId="3">
        <row r="21">
          <cell r="C21">
            <v>-6.7440415040991324E-6</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ow r="13">
          <cell r="E13">
            <v>0.1</v>
          </cell>
        </row>
      </sheetData>
      <sheetData sheetId="1">
        <row r="11">
          <cell r="H11">
            <v>5000</v>
          </cell>
        </row>
        <row r="18">
          <cell r="G18">
            <v>199.9999999998181</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AL"/>
      <sheetName val="RESULTADOS"/>
      <sheetName val="Certificado 0,008"/>
    </sheetNames>
    <sheetDataSet>
      <sheetData sheetId="0"/>
      <sheetData sheetId="1"/>
      <sheetData sheetId="2">
        <row r="32">
          <cell r="G32">
            <v>2.3198094410224317</v>
          </cell>
          <cell r="H32">
            <v>2.1404966299111416</v>
          </cell>
          <cell r="I32">
            <v>2.0448204509932868</v>
          </cell>
          <cell r="J32">
            <v>2.0231982834557294</v>
          </cell>
          <cell r="K32">
            <v>2.0240923077978925</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12"/>
    </sheetNames>
    <sheetDataSet>
      <sheetData sheetId="0">
        <row r="12">
          <cell r="G12" t="str">
            <v>g</v>
          </cell>
        </row>
      </sheetData>
      <sheetData sheetId="1">
        <row r="11">
          <cell r="B11" t="str">
            <v>CARGA (g)</v>
          </cell>
        </row>
        <row r="18">
          <cell r="F18" t="str">
            <v>DIF MAX EXC</v>
          </cell>
        </row>
      </sheetData>
      <sheetData sheetId="2"/>
      <sheetData sheetId="3"/>
      <sheetData sheetId="4">
        <row r="6">
          <cell r="C6" t="str">
            <v>ERROR (mg)</v>
          </cell>
        </row>
        <row r="23">
          <cell r="I23" t="str">
            <v xml:space="preserve">                + </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externalLinkPath" Target="/Users/CA32F~1.YAH/AppData/Local/Temp/Rar$DIa0.424/RT03-F12.Vr.1(2017-04-47).xlsx" TargetMode="External"/><Relationship Id="rId1" Type="http://schemas.openxmlformats.org/officeDocument/2006/relationships/externalLinkPath" Target="/Users/CA32F~1.YAH/AppData/Local/Temp/Rar$DIa0.424/RT03-F12.Vr.1(2017-04-47).xlsx"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CE193"/>
  <sheetViews>
    <sheetView showGridLines="0" view="pageBreakPreview" topLeftCell="A37" zoomScale="60" zoomScaleNormal="20" workbookViewId="0">
      <selection activeCell="D17" sqref="D17:L17"/>
    </sheetView>
  </sheetViews>
  <sheetFormatPr baseColWidth="10" defaultColWidth="15.7109375" defaultRowHeight="15" x14ac:dyDescent="0.2"/>
  <cols>
    <col min="1" max="1" width="15.7109375" style="293"/>
    <col min="2" max="14" width="20.7109375" style="293" customWidth="1"/>
    <col min="15" max="26" width="20.7109375" style="295" customWidth="1"/>
    <col min="27" max="33" width="20.7109375" style="293" customWidth="1"/>
    <col min="34" max="34" width="19.85546875" style="293" bestFit="1" customWidth="1"/>
    <col min="35" max="38" width="15.85546875" style="293" bestFit="1" customWidth="1"/>
    <col min="39" max="43" width="16" style="293" customWidth="1"/>
    <col min="44" max="47" width="10.7109375" style="293" customWidth="1"/>
    <col min="48" max="48" width="16" style="293" bestFit="1" customWidth="1"/>
    <col min="49" max="49" width="15.85546875" style="293" bestFit="1" customWidth="1"/>
    <col min="50" max="50" width="20.7109375" style="293" bestFit="1" customWidth="1"/>
    <col min="51" max="51" width="15.85546875" style="293" bestFit="1" customWidth="1"/>
    <col min="52" max="52" width="15.7109375" style="293"/>
    <col min="53" max="53" width="20" style="293" customWidth="1"/>
    <col min="54" max="55" width="10.7109375" style="293" customWidth="1"/>
    <col min="56" max="16384" width="15.7109375" style="293"/>
  </cols>
  <sheetData>
    <row r="1" spans="2:83" ht="30" customHeight="1" x14ac:dyDescent="0.2">
      <c r="C1" s="294"/>
      <c r="D1" s="294"/>
      <c r="E1" s="294"/>
      <c r="F1" s="294"/>
      <c r="G1" s="294"/>
      <c r="H1" s="294"/>
      <c r="I1" s="294"/>
      <c r="J1" s="294"/>
      <c r="K1" s="294"/>
      <c r="L1" s="294"/>
      <c r="M1" s="294"/>
    </row>
    <row r="2" spans="2:83" ht="30" customHeight="1" thickBot="1" x14ac:dyDescent="0.25">
      <c r="B2" s="294"/>
      <c r="C2" s="294"/>
      <c r="D2" s="294"/>
      <c r="E2" s="294"/>
      <c r="F2" s="294"/>
      <c r="G2" s="294"/>
      <c r="H2" s="294"/>
      <c r="I2" s="294"/>
      <c r="J2" s="294"/>
      <c r="K2" s="294"/>
      <c r="L2" s="294"/>
      <c r="M2" s="294"/>
    </row>
    <row r="3" spans="2:83" ht="30" customHeight="1" x14ac:dyDescent="0.2">
      <c r="B3" s="294"/>
      <c r="C3" s="503" t="s">
        <v>187</v>
      </c>
      <c r="D3" s="504"/>
      <c r="E3" s="504"/>
      <c r="F3" s="504"/>
      <c r="G3" s="504"/>
      <c r="H3" s="504"/>
      <c r="I3" s="504"/>
      <c r="J3" s="504"/>
      <c r="K3" s="505"/>
      <c r="L3" s="294"/>
      <c r="M3" s="294"/>
    </row>
    <row r="4" spans="2:83" ht="30" customHeight="1" thickBot="1" x14ac:dyDescent="0.25">
      <c r="B4" s="294"/>
      <c r="C4" s="506"/>
      <c r="D4" s="507"/>
      <c r="E4" s="507"/>
      <c r="F4" s="507"/>
      <c r="G4" s="507"/>
      <c r="H4" s="507"/>
      <c r="I4" s="507"/>
      <c r="J4" s="507"/>
      <c r="K4" s="508"/>
      <c r="L4" s="294"/>
      <c r="M4" s="294"/>
    </row>
    <row r="5" spans="2:83" ht="30" customHeight="1" x14ac:dyDescent="0.2">
      <c r="B5" s="294"/>
      <c r="C5" s="509" t="s">
        <v>188</v>
      </c>
      <c r="D5" s="511" t="s">
        <v>7</v>
      </c>
      <c r="E5" s="511" t="s">
        <v>189</v>
      </c>
      <c r="F5" s="511" t="s">
        <v>8</v>
      </c>
      <c r="G5" s="511" t="s">
        <v>79</v>
      </c>
      <c r="H5" s="511" t="s">
        <v>374</v>
      </c>
      <c r="I5" s="511" t="s">
        <v>375</v>
      </c>
      <c r="J5" s="511" t="s">
        <v>190</v>
      </c>
      <c r="K5" s="513" t="s">
        <v>377</v>
      </c>
      <c r="L5" s="294"/>
      <c r="M5" s="294"/>
    </row>
    <row r="6" spans="2:83" ht="30" customHeight="1" thickBot="1" x14ac:dyDescent="0.25">
      <c r="B6" s="294"/>
      <c r="C6" s="510"/>
      <c r="D6" s="512"/>
      <c r="E6" s="512"/>
      <c r="F6" s="512"/>
      <c r="G6" s="512"/>
      <c r="H6" s="512"/>
      <c r="I6" s="512"/>
      <c r="J6" s="512"/>
      <c r="K6" s="514"/>
      <c r="L6" s="294"/>
      <c r="M6" s="294"/>
    </row>
    <row r="7" spans="2:83" ht="30" customHeight="1" x14ac:dyDescent="0.2">
      <c r="B7" s="294"/>
      <c r="C7" s="296"/>
      <c r="D7" s="297"/>
      <c r="E7" s="297"/>
      <c r="F7" s="297"/>
      <c r="G7" s="297"/>
      <c r="H7" s="297"/>
      <c r="I7" s="297"/>
      <c r="J7" s="297"/>
      <c r="K7" s="298"/>
      <c r="L7" s="294"/>
      <c r="M7" s="294"/>
    </row>
    <row r="8" spans="2:83" s="305" customFormat="1" ht="30" customHeight="1" x14ac:dyDescent="0.2">
      <c r="B8" s="299"/>
      <c r="C8" s="300">
        <v>1</v>
      </c>
      <c r="D8" s="301"/>
      <c r="E8" s="302"/>
      <c r="F8" s="303"/>
      <c r="G8" s="303"/>
      <c r="H8" s="303"/>
      <c r="I8" s="302"/>
      <c r="J8" s="301"/>
      <c r="K8" s="304"/>
      <c r="L8" s="294"/>
      <c r="M8" s="294"/>
      <c r="N8" s="293"/>
      <c r="AI8" s="293"/>
      <c r="AJ8" s="293"/>
      <c r="AK8" s="293"/>
      <c r="AL8" s="293"/>
      <c r="AM8" s="293"/>
      <c r="AN8" s="293"/>
      <c r="AO8" s="293"/>
      <c r="AP8" s="293"/>
      <c r="AQ8" s="293"/>
      <c r="AR8" s="293"/>
      <c r="AS8" s="293"/>
      <c r="AT8" s="293"/>
      <c r="AU8" s="293"/>
      <c r="AV8" s="293"/>
      <c r="AW8" s="293"/>
      <c r="AX8" s="293"/>
      <c r="AY8" s="293"/>
      <c r="AZ8" s="293"/>
      <c r="BA8" s="293"/>
      <c r="BB8" s="293"/>
      <c r="BC8" s="293"/>
      <c r="BD8" s="293"/>
      <c r="BE8" s="293"/>
      <c r="BF8" s="293"/>
      <c r="BG8" s="293"/>
      <c r="BH8" s="293"/>
      <c r="BI8" s="293"/>
      <c r="BJ8" s="293"/>
      <c r="BK8" s="293"/>
      <c r="BL8" s="293"/>
      <c r="BM8" s="293"/>
      <c r="BN8" s="293"/>
      <c r="CD8" s="293"/>
      <c r="CE8" s="293"/>
    </row>
    <row r="9" spans="2:83" s="305" customFormat="1" ht="30" customHeight="1" thickBot="1" x14ac:dyDescent="0.25">
      <c r="B9" s="299"/>
      <c r="C9" s="306"/>
      <c r="D9" s="307"/>
      <c r="E9" s="307"/>
      <c r="F9" s="307"/>
      <c r="G9" s="307"/>
      <c r="H9" s="307"/>
      <c r="I9" s="307"/>
      <c r="J9" s="307"/>
      <c r="K9" s="308"/>
      <c r="L9" s="299"/>
      <c r="M9" s="294"/>
      <c r="N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3"/>
      <c r="BG9" s="293"/>
      <c r="BH9" s="293"/>
      <c r="BI9" s="293"/>
      <c r="BJ9" s="293"/>
      <c r="BK9" s="293"/>
      <c r="BL9" s="293"/>
      <c r="BM9" s="293"/>
      <c r="BN9" s="293"/>
      <c r="CD9" s="293"/>
      <c r="CE9" s="293"/>
    </row>
    <row r="10" spans="2:83" s="305" customFormat="1" ht="30" customHeight="1" x14ac:dyDescent="0.2">
      <c r="B10" s="299"/>
      <c r="C10" s="299"/>
      <c r="D10" s="299"/>
      <c r="E10" s="299"/>
      <c r="F10" s="299"/>
      <c r="G10" s="299"/>
      <c r="H10" s="299"/>
      <c r="I10" s="299"/>
      <c r="J10" s="299"/>
      <c r="K10" s="299"/>
      <c r="L10" s="299"/>
      <c r="M10" s="294"/>
      <c r="N10" s="293"/>
      <c r="AI10" s="293"/>
      <c r="AJ10" s="293"/>
      <c r="AK10" s="293"/>
      <c r="AL10" s="293"/>
      <c r="AM10" s="293"/>
      <c r="AN10" s="293"/>
      <c r="AO10" s="293"/>
      <c r="AP10" s="293"/>
      <c r="AQ10" s="293"/>
      <c r="AR10" s="293"/>
      <c r="AS10" s="293"/>
      <c r="AT10" s="293"/>
      <c r="AU10" s="293"/>
      <c r="AV10" s="293"/>
      <c r="AW10" s="293"/>
      <c r="AX10" s="293"/>
      <c r="AY10" s="293"/>
      <c r="AZ10" s="293"/>
      <c r="BA10" s="293"/>
      <c r="BB10" s="293"/>
      <c r="BC10" s="293"/>
      <c r="BD10" s="293"/>
      <c r="BE10" s="293"/>
      <c r="BF10" s="293"/>
      <c r="BG10" s="293"/>
      <c r="BH10" s="293"/>
      <c r="BI10" s="293"/>
      <c r="BJ10" s="293"/>
      <c r="BK10" s="293"/>
      <c r="BL10" s="293"/>
      <c r="BM10" s="293"/>
      <c r="BN10" s="293"/>
      <c r="CD10" s="293"/>
      <c r="CE10" s="293"/>
    </row>
    <row r="11" spans="2:83" s="305" customFormat="1" ht="30" customHeight="1" thickBot="1" x14ac:dyDescent="0.25">
      <c r="B11" s="299"/>
      <c r="C11" s="299"/>
      <c r="D11" s="299"/>
      <c r="E11" s="299"/>
      <c r="F11" s="299"/>
      <c r="G11" s="299"/>
      <c r="H11" s="299"/>
      <c r="I11" s="299"/>
      <c r="J11" s="299"/>
      <c r="K11" s="299"/>
      <c r="L11" s="299"/>
      <c r="M11" s="294"/>
      <c r="N11" s="293"/>
      <c r="AI11" s="293"/>
      <c r="AJ11" s="293"/>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c r="BJ11" s="293"/>
      <c r="BK11" s="293"/>
      <c r="BL11" s="293"/>
      <c r="BM11" s="293"/>
      <c r="BN11" s="293"/>
      <c r="CD11" s="293"/>
      <c r="CE11" s="293"/>
    </row>
    <row r="12" spans="2:83" s="305" customFormat="1" ht="30" customHeight="1" x14ac:dyDescent="0.2">
      <c r="B12" s="299"/>
      <c r="C12" s="485" t="s">
        <v>376</v>
      </c>
      <c r="D12" s="486"/>
      <c r="E12" s="486"/>
      <c r="F12" s="486"/>
      <c r="G12" s="486"/>
      <c r="H12" s="486"/>
      <c r="I12" s="486"/>
      <c r="J12" s="486"/>
      <c r="K12" s="486"/>
      <c r="L12" s="487"/>
      <c r="M12" s="294"/>
      <c r="N12" s="293"/>
      <c r="AI12" s="293"/>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3"/>
      <c r="BG12" s="293"/>
      <c r="BH12" s="293"/>
      <c r="BI12" s="293"/>
      <c r="BJ12" s="293"/>
      <c r="BK12" s="293"/>
      <c r="BL12" s="293"/>
      <c r="BM12" s="293"/>
      <c r="BN12" s="293"/>
      <c r="CD12" s="293"/>
      <c r="CE12" s="293"/>
    </row>
    <row r="13" spans="2:83" ht="30" customHeight="1" thickBot="1" x14ac:dyDescent="0.25">
      <c r="B13" s="299"/>
      <c r="C13" s="488"/>
      <c r="D13" s="489"/>
      <c r="E13" s="489"/>
      <c r="F13" s="489"/>
      <c r="G13" s="489"/>
      <c r="H13" s="489"/>
      <c r="I13" s="489"/>
      <c r="J13" s="489"/>
      <c r="K13" s="489"/>
      <c r="L13" s="490"/>
      <c r="M13" s="294"/>
    </row>
    <row r="14" spans="2:83" ht="30" customHeight="1" x14ac:dyDescent="0.2">
      <c r="B14" s="299"/>
      <c r="C14" s="491" t="s">
        <v>188</v>
      </c>
      <c r="D14" s="493" t="s">
        <v>3</v>
      </c>
      <c r="E14" s="493" t="s">
        <v>9</v>
      </c>
      <c r="F14" s="493" t="s">
        <v>1</v>
      </c>
      <c r="G14" s="495" t="s">
        <v>45</v>
      </c>
      <c r="H14" s="495" t="s">
        <v>48</v>
      </c>
      <c r="I14" s="493" t="s">
        <v>338</v>
      </c>
      <c r="J14" s="497" t="s">
        <v>70</v>
      </c>
      <c r="K14" s="499" t="s">
        <v>190</v>
      </c>
      <c r="L14" s="501" t="s">
        <v>250</v>
      </c>
      <c r="M14" s="294"/>
    </row>
    <row r="15" spans="2:83" ht="30" customHeight="1" thickBot="1" x14ac:dyDescent="0.25">
      <c r="B15" s="299"/>
      <c r="C15" s="492"/>
      <c r="D15" s="494"/>
      <c r="E15" s="494"/>
      <c r="F15" s="494"/>
      <c r="G15" s="496"/>
      <c r="H15" s="496"/>
      <c r="I15" s="494"/>
      <c r="J15" s="498"/>
      <c r="K15" s="500"/>
      <c r="L15" s="502"/>
      <c r="M15" s="294"/>
    </row>
    <row r="16" spans="2:83" ht="30" customHeight="1" x14ac:dyDescent="0.2">
      <c r="B16" s="299"/>
      <c r="C16" s="296"/>
      <c r="D16" s="297"/>
      <c r="E16" s="297"/>
      <c r="F16" s="297"/>
      <c r="G16" s="297"/>
      <c r="H16" s="297"/>
      <c r="I16" s="297"/>
      <c r="J16" s="297"/>
      <c r="K16" s="297"/>
      <c r="L16" s="298"/>
      <c r="M16" s="294"/>
    </row>
    <row r="17" spans="2:46" ht="30" customHeight="1" x14ac:dyDescent="0.2">
      <c r="B17" s="299"/>
      <c r="C17" s="300">
        <v>1</v>
      </c>
      <c r="D17" s="303"/>
      <c r="E17" s="303"/>
      <c r="F17" s="303"/>
      <c r="G17" s="303"/>
      <c r="H17" s="303"/>
      <c r="I17" s="303"/>
      <c r="J17" s="303"/>
      <c r="K17" s="303"/>
      <c r="L17" s="309"/>
      <c r="M17" s="294"/>
    </row>
    <row r="18" spans="2:46" ht="30" customHeight="1" thickBot="1" x14ac:dyDescent="0.25">
      <c r="B18" s="299"/>
      <c r="C18" s="310"/>
      <c r="D18" s="311"/>
      <c r="E18" s="311"/>
      <c r="F18" s="311"/>
      <c r="G18" s="312"/>
      <c r="H18" s="312"/>
      <c r="I18" s="311"/>
      <c r="J18" s="311"/>
      <c r="K18" s="312"/>
      <c r="L18" s="313"/>
      <c r="M18" s="294"/>
    </row>
    <row r="19" spans="2:46" ht="30" customHeight="1" x14ac:dyDescent="0.2">
      <c r="B19" s="299"/>
      <c r="C19" s="299"/>
      <c r="D19" s="299"/>
      <c r="E19" s="299"/>
      <c r="F19" s="299"/>
      <c r="G19" s="299"/>
      <c r="H19" s="299"/>
      <c r="I19" s="299"/>
      <c r="J19" s="299"/>
      <c r="K19" s="299"/>
      <c r="L19" s="299"/>
      <c r="M19" s="294"/>
    </row>
    <row r="20" spans="2:46" ht="30" customHeight="1" x14ac:dyDescent="0.2">
      <c r="B20" s="299"/>
      <c r="C20" s="299"/>
      <c r="D20" s="299"/>
      <c r="E20" s="299"/>
      <c r="F20" s="299"/>
      <c r="G20" s="299"/>
      <c r="H20" s="299"/>
      <c r="I20" s="299"/>
      <c r="J20" s="299"/>
      <c r="K20" s="299"/>
      <c r="L20" s="299"/>
      <c r="M20" s="294"/>
      <c r="AS20" s="299"/>
      <c r="AT20" s="294"/>
    </row>
    <row r="21" spans="2:46" ht="30" customHeight="1" x14ac:dyDescent="0.2">
      <c r="B21" s="299"/>
      <c r="C21" s="299"/>
      <c r="D21" s="299"/>
      <c r="E21" s="299"/>
      <c r="F21" s="299"/>
      <c r="G21" s="299"/>
      <c r="H21" s="299"/>
      <c r="I21" s="299"/>
      <c r="J21" s="299"/>
      <c r="K21" s="299"/>
      <c r="L21" s="299"/>
      <c r="M21" s="294"/>
      <c r="AS21" s="299"/>
      <c r="AT21" s="294"/>
    </row>
    <row r="22" spans="2:46" ht="30" customHeight="1" thickBot="1" x14ac:dyDescent="0.25">
      <c r="B22" s="299"/>
      <c r="C22" s="299"/>
      <c r="D22" s="299"/>
      <c r="E22" s="299"/>
      <c r="F22" s="299"/>
      <c r="G22" s="299"/>
      <c r="H22" s="299"/>
      <c r="I22" s="299"/>
      <c r="J22" s="299"/>
      <c r="K22" s="299"/>
      <c r="L22" s="299"/>
      <c r="M22" s="294"/>
      <c r="AS22" s="299"/>
      <c r="AT22" s="294"/>
    </row>
    <row r="23" spans="2:46" ht="30" customHeight="1" x14ac:dyDescent="0.2">
      <c r="B23" s="299"/>
      <c r="C23" s="503" t="s">
        <v>332</v>
      </c>
      <c r="D23" s="504"/>
      <c r="E23" s="504"/>
      <c r="F23" s="504"/>
      <c r="G23" s="504"/>
      <c r="H23" s="504"/>
      <c r="I23" s="504"/>
      <c r="J23" s="504"/>
      <c r="K23" s="504"/>
      <c r="L23" s="504"/>
      <c r="M23" s="504"/>
      <c r="N23" s="504"/>
      <c r="O23" s="504"/>
      <c r="P23" s="504"/>
      <c r="Q23" s="504"/>
      <c r="R23" s="505"/>
      <c r="AS23" s="299"/>
      <c r="AT23" s="294"/>
    </row>
    <row r="24" spans="2:46" ht="30" customHeight="1" thickBot="1" x14ac:dyDescent="0.25">
      <c r="B24" s="299"/>
      <c r="C24" s="506"/>
      <c r="D24" s="507"/>
      <c r="E24" s="507"/>
      <c r="F24" s="507"/>
      <c r="G24" s="507"/>
      <c r="H24" s="507"/>
      <c r="I24" s="507"/>
      <c r="J24" s="507"/>
      <c r="K24" s="507"/>
      <c r="L24" s="507"/>
      <c r="M24" s="507"/>
      <c r="N24" s="507"/>
      <c r="O24" s="507"/>
      <c r="P24" s="507"/>
      <c r="Q24" s="507"/>
      <c r="R24" s="508"/>
      <c r="AS24" s="299"/>
      <c r="AT24" s="294"/>
    </row>
    <row r="25" spans="2:46" ht="30" customHeight="1" x14ac:dyDescent="0.2">
      <c r="B25" s="299"/>
      <c r="C25" s="536" t="s">
        <v>192</v>
      </c>
      <c r="D25" s="477" t="s">
        <v>0</v>
      </c>
      <c r="E25" s="477" t="s">
        <v>3</v>
      </c>
      <c r="F25" s="477" t="s">
        <v>1</v>
      </c>
      <c r="G25" s="477" t="s">
        <v>193</v>
      </c>
      <c r="H25" s="477" t="s">
        <v>191</v>
      </c>
      <c r="I25" s="481" t="s">
        <v>375</v>
      </c>
      <c r="J25" s="481" t="s">
        <v>194</v>
      </c>
      <c r="K25" s="483" t="s">
        <v>333</v>
      </c>
      <c r="L25" s="483" t="s">
        <v>334</v>
      </c>
      <c r="M25" s="477" t="s">
        <v>195</v>
      </c>
      <c r="N25" s="483" t="s">
        <v>341</v>
      </c>
      <c r="O25" s="481" t="s">
        <v>196</v>
      </c>
      <c r="P25" s="481" t="s">
        <v>197</v>
      </c>
      <c r="Q25" s="529" t="s">
        <v>198</v>
      </c>
      <c r="R25" s="521" t="s">
        <v>128</v>
      </c>
      <c r="AS25" s="299"/>
    </row>
    <row r="26" spans="2:46" ht="30" customHeight="1" thickBot="1" x14ac:dyDescent="0.25">
      <c r="B26" s="299"/>
      <c r="C26" s="537"/>
      <c r="D26" s="478"/>
      <c r="E26" s="478"/>
      <c r="F26" s="478"/>
      <c r="G26" s="478"/>
      <c r="H26" s="478"/>
      <c r="I26" s="482"/>
      <c r="J26" s="482"/>
      <c r="K26" s="484"/>
      <c r="L26" s="484"/>
      <c r="M26" s="478"/>
      <c r="N26" s="484"/>
      <c r="O26" s="482"/>
      <c r="P26" s="482"/>
      <c r="Q26" s="530"/>
      <c r="R26" s="522"/>
      <c r="AS26" s="299"/>
    </row>
    <row r="27" spans="2:46" ht="30" customHeight="1" thickBot="1" x14ac:dyDescent="0.25">
      <c r="B27" s="299"/>
      <c r="C27" s="314"/>
      <c r="D27" s="315"/>
      <c r="E27" s="315"/>
      <c r="F27" s="315"/>
      <c r="G27" s="315"/>
      <c r="H27" s="315"/>
      <c r="I27" s="315"/>
      <c r="J27" s="315"/>
      <c r="K27" s="315"/>
      <c r="L27" s="315"/>
      <c r="M27" s="315"/>
      <c r="N27" s="315"/>
      <c r="O27" s="315"/>
      <c r="P27" s="315"/>
      <c r="Q27" s="316"/>
      <c r="R27" s="317"/>
      <c r="AS27" s="299"/>
    </row>
    <row r="28" spans="2:46" ht="30" customHeight="1" x14ac:dyDescent="0.2">
      <c r="B28" s="518" t="s">
        <v>344</v>
      </c>
      <c r="C28" s="318" t="s">
        <v>326</v>
      </c>
      <c r="D28" s="319" t="s">
        <v>331</v>
      </c>
      <c r="E28" s="319" t="s">
        <v>264</v>
      </c>
      <c r="F28" s="319" t="s">
        <v>265</v>
      </c>
      <c r="G28" s="319" t="s">
        <v>266</v>
      </c>
      <c r="H28" s="319" t="s">
        <v>339</v>
      </c>
      <c r="I28" s="320">
        <v>42683</v>
      </c>
      <c r="J28" s="319">
        <v>5</v>
      </c>
      <c r="K28" s="319">
        <v>5</v>
      </c>
      <c r="L28" s="319">
        <v>100</v>
      </c>
      <c r="M28" s="321">
        <v>0.09</v>
      </c>
      <c r="N28" s="322">
        <f>J28+(M28)/1000</f>
        <v>5.0000900000000001</v>
      </c>
      <c r="O28" s="319">
        <v>5.2999999999999999E-2</v>
      </c>
      <c r="P28" s="323">
        <v>0.88529999999999998</v>
      </c>
      <c r="Q28" s="319" t="s">
        <v>340</v>
      </c>
      <c r="R28" s="324" t="s">
        <v>346</v>
      </c>
      <c r="AS28" s="299"/>
    </row>
    <row r="29" spans="2:46" ht="30" customHeight="1" x14ac:dyDescent="0.2">
      <c r="B29" s="519"/>
      <c r="C29" s="325" t="s">
        <v>327</v>
      </c>
      <c r="D29" s="326" t="s">
        <v>331</v>
      </c>
      <c r="E29" s="326" t="s">
        <v>264</v>
      </c>
      <c r="F29" s="326" t="s">
        <v>265</v>
      </c>
      <c r="G29" s="326" t="s">
        <v>266</v>
      </c>
      <c r="H29" s="326" t="s">
        <v>339</v>
      </c>
      <c r="I29" s="327">
        <v>42683</v>
      </c>
      <c r="J29" s="326">
        <v>200</v>
      </c>
      <c r="K29" s="326">
        <v>10</v>
      </c>
      <c r="L29" s="326">
        <v>200</v>
      </c>
      <c r="M29" s="326">
        <v>0.05</v>
      </c>
      <c r="N29" s="328">
        <f t="shared" ref="N29:N32" si="0">J29+(M29)/1000</f>
        <v>200.00004999999999</v>
      </c>
      <c r="O29" s="329">
        <v>0.33</v>
      </c>
      <c r="P29" s="330">
        <v>0.88470000000000004</v>
      </c>
      <c r="Q29" s="326" t="s">
        <v>340</v>
      </c>
      <c r="R29" s="324" t="s">
        <v>346</v>
      </c>
      <c r="AS29" s="299"/>
    </row>
    <row r="30" spans="2:46" ht="30" customHeight="1" x14ac:dyDescent="0.2">
      <c r="B30" s="519"/>
      <c r="C30" s="325" t="s">
        <v>328</v>
      </c>
      <c r="D30" s="326" t="s">
        <v>331</v>
      </c>
      <c r="E30" s="326" t="s">
        <v>264</v>
      </c>
      <c r="F30" s="326" t="s">
        <v>265</v>
      </c>
      <c r="G30" s="326" t="s">
        <v>266</v>
      </c>
      <c r="H30" s="326" t="s">
        <v>339</v>
      </c>
      <c r="I30" s="327">
        <v>42683</v>
      </c>
      <c r="J30" s="326">
        <v>1000</v>
      </c>
      <c r="K30" s="326">
        <v>200</v>
      </c>
      <c r="L30" s="326">
        <v>500</v>
      </c>
      <c r="M30" s="326">
        <v>-0.2</v>
      </c>
      <c r="N30" s="331">
        <f t="shared" si="0"/>
        <v>999.99980000000005</v>
      </c>
      <c r="O30" s="332">
        <v>1.7</v>
      </c>
      <c r="P30" s="330">
        <v>0.88219999999999998</v>
      </c>
      <c r="Q30" s="326" t="s">
        <v>340</v>
      </c>
      <c r="R30" s="324" t="s">
        <v>346</v>
      </c>
      <c r="AS30" s="299"/>
    </row>
    <row r="31" spans="2:46" ht="30" customHeight="1" x14ac:dyDescent="0.2">
      <c r="B31" s="519"/>
      <c r="C31" s="325" t="s">
        <v>329</v>
      </c>
      <c r="D31" s="326" t="s">
        <v>331</v>
      </c>
      <c r="E31" s="326" t="s">
        <v>264</v>
      </c>
      <c r="F31" s="326" t="s">
        <v>265</v>
      </c>
      <c r="G31" s="326" t="s">
        <v>266</v>
      </c>
      <c r="H31" s="326" t="s">
        <v>339</v>
      </c>
      <c r="I31" s="327">
        <v>42683</v>
      </c>
      <c r="J31" s="326">
        <v>2000</v>
      </c>
      <c r="K31" s="326">
        <v>1000</v>
      </c>
      <c r="L31" s="326">
        <v>1000</v>
      </c>
      <c r="M31" s="326">
        <v>4.5999999999999996</v>
      </c>
      <c r="N31" s="331">
        <f t="shared" si="0"/>
        <v>2000.0046</v>
      </c>
      <c r="O31" s="326">
        <v>3.3</v>
      </c>
      <c r="P31" s="330">
        <v>0.88249999999999995</v>
      </c>
      <c r="Q31" s="326" t="s">
        <v>340</v>
      </c>
      <c r="R31" s="324" t="s">
        <v>346</v>
      </c>
      <c r="AS31" s="299"/>
    </row>
    <row r="32" spans="2:46" ht="30" customHeight="1" thickBot="1" x14ac:dyDescent="0.25">
      <c r="B32" s="520"/>
      <c r="C32" s="333" t="s">
        <v>330</v>
      </c>
      <c r="D32" s="334" t="s">
        <v>331</v>
      </c>
      <c r="E32" s="334" t="s">
        <v>264</v>
      </c>
      <c r="F32" s="334" t="s">
        <v>265</v>
      </c>
      <c r="G32" s="334" t="s">
        <v>266</v>
      </c>
      <c r="H32" s="334" t="s">
        <v>339</v>
      </c>
      <c r="I32" s="335">
        <v>42683</v>
      </c>
      <c r="J32" s="334">
        <v>5000</v>
      </c>
      <c r="K32" s="334">
        <v>2000</v>
      </c>
      <c r="L32" s="334">
        <v>2000</v>
      </c>
      <c r="M32" s="334">
        <v>4.8</v>
      </c>
      <c r="N32" s="336">
        <f t="shared" si="0"/>
        <v>5000.0047999999997</v>
      </c>
      <c r="O32" s="334">
        <v>8.3000000000000007</v>
      </c>
      <c r="P32" s="337">
        <v>0.88319999999999999</v>
      </c>
      <c r="Q32" s="334" t="s">
        <v>340</v>
      </c>
      <c r="R32" s="324" t="s">
        <v>346</v>
      </c>
      <c r="AS32" s="299"/>
    </row>
    <row r="33" spans="2:45" ht="30" customHeight="1" thickBot="1" x14ac:dyDescent="0.25">
      <c r="B33" s="338"/>
      <c r="C33" s="339"/>
      <c r="D33" s="340"/>
      <c r="E33" s="340"/>
      <c r="F33" s="340"/>
      <c r="G33" s="340"/>
      <c r="H33" s="340"/>
      <c r="I33" s="340"/>
      <c r="J33" s="340"/>
      <c r="K33" s="340">
        <v>4000</v>
      </c>
      <c r="L33" s="340">
        <v>5000</v>
      </c>
      <c r="M33" s="340"/>
      <c r="N33" s="340"/>
      <c r="O33" s="340"/>
      <c r="P33" s="341"/>
      <c r="Q33" s="340"/>
      <c r="R33" s="342"/>
      <c r="AS33" s="299"/>
    </row>
    <row r="34" spans="2:45" ht="30" customHeight="1" x14ac:dyDescent="0.2">
      <c r="B34" s="526" t="s">
        <v>348</v>
      </c>
      <c r="C34" s="343" t="s">
        <v>199</v>
      </c>
      <c r="D34" s="344" t="s">
        <v>200</v>
      </c>
      <c r="E34" s="344" t="s">
        <v>182</v>
      </c>
      <c r="F34" s="344">
        <v>27129360</v>
      </c>
      <c r="G34" s="344" t="s">
        <v>201</v>
      </c>
      <c r="H34" s="344">
        <v>1230</v>
      </c>
      <c r="I34" s="345">
        <v>42631</v>
      </c>
      <c r="J34" s="344">
        <v>1</v>
      </c>
      <c r="K34" s="344">
        <v>5000</v>
      </c>
      <c r="L34" s="344">
        <v>6000</v>
      </c>
      <c r="M34" s="344">
        <v>6.0000000000000001E-3</v>
      </c>
      <c r="N34" s="346">
        <f>J34+(M34)/1000</f>
        <v>1.000006</v>
      </c>
      <c r="O34" s="347">
        <v>0.01</v>
      </c>
      <c r="P34" s="348">
        <f>(0.34848*((752.597+755.909)/2)-0.009024*((44.5+51.2)/2)*EXP(0.0612*((19.7+20.8)/2)))/(273.15+((19.7+20.8)/2))</f>
        <v>0.89076687525312348</v>
      </c>
      <c r="Q34" s="344" t="s">
        <v>202</v>
      </c>
      <c r="R34" s="349" t="s">
        <v>347</v>
      </c>
      <c r="AS34" s="299"/>
    </row>
    <row r="35" spans="2:45" ht="30" customHeight="1" x14ac:dyDescent="0.2">
      <c r="B35" s="527"/>
      <c r="C35" s="325" t="s">
        <v>203</v>
      </c>
      <c r="D35" s="326" t="s">
        <v>200</v>
      </c>
      <c r="E35" s="326" t="s">
        <v>182</v>
      </c>
      <c r="F35" s="326">
        <v>27129360</v>
      </c>
      <c r="G35" s="326" t="s">
        <v>204</v>
      </c>
      <c r="H35" s="326">
        <v>1230</v>
      </c>
      <c r="I35" s="327">
        <v>42631</v>
      </c>
      <c r="J35" s="326">
        <v>2</v>
      </c>
      <c r="K35" s="326">
        <v>10000</v>
      </c>
      <c r="L35" s="326">
        <v>7000</v>
      </c>
      <c r="M35" s="326">
        <v>6.0000000000000001E-3</v>
      </c>
      <c r="N35" s="350">
        <f t="shared" ref="N35:N84" si="1">J35+(M35)/1000</f>
        <v>2.000006</v>
      </c>
      <c r="O35" s="326">
        <v>1.2E-2</v>
      </c>
      <c r="P35" s="331">
        <f t="shared" ref="P35:P50" si="2">(0.34848*((752.597+755.909)/2)-0.009024*((44.5+51.2)/2)*EXP(0.0612*((19.7+20.8)/2)))/(273.15+((19.7+20.8)/2))</f>
        <v>0.89076687525312348</v>
      </c>
      <c r="Q35" s="326" t="str">
        <f t="shared" ref="Q35:Q50" si="3">Q34</f>
        <v>M-001</v>
      </c>
      <c r="R35" s="351" t="s">
        <v>347</v>
      </c>
      <c r="AS35" s="299"/>
    </row>
    <row r="36" spans="2:45" ht="30" customHeight="1" x14ac:dyDescent="0.2">
      <c r="B36" s="527"/>
      <c r="C36" s="325" t="s">
        <v>205</v>
      </c>
      <c r="D36" s="326" t="s">
        <v>200</v>
      </c>
      <c r="E36" s="326" t="s">
        <v>182</v>
      </c>
      <c r="F36" s="326">
        <v>27129360</v>
      </c>
      <c r="G36" s="326" t="s">
        <v>206</v>
      </c>
      <c r="H36" s="326">
        <v>1230</v>
      </c>
      <c r="I36" s="327">
        <v>42631</v>
      </c>
      <c r="J36" s="326">
        <v>2</v>
      </c>
      <c r="K36" s="326">
        <v>15000</v>
      </c>
      <c r="L36" s="326">
        <v>8000</v>
      </c>
      <c r="M36" s="326">
        <v>1.2999999999999999E-2</v>
      </c>
      <c r="N36" s="350">
        <f t="shared" si="1"/>
        <v>2.000013</v>
      </c>
      <c r="O36" s="326">
        <v>1.2E-2</v>
      </c>
      <c r="P36" s="331">
        <f t="shared" si="2"/>
        <v>0.89076687525312348</v>
      </c>
      <c r="Q36" s="326" t="str">
        <f t="shared" si="3"/>
        <v>M-001</v>
      </c>
      <c r="R36" s="351" t="s">
        <v>347</v>
      </c>
      <c r="AS36" s="299"/>
    </row>
    <row r="37" spans="2:45" ht="30" customHeight="1" x14ac:dyDescent="0.2">
      <c r="B37" s="527"/>
      <c r="C37" s="325" t="s">
        <v>207</v>
      </c>
      <c r="D37" s="326" t="s">
        <v>200</v>
      </c>
      <c r="E37" s="326" t="s">
        <v>182</v>
      </c>
      <c r="F37" s="326">
        <v>27129360</v>
      </c>
      <c r="G37" s="326" t="s">
        <v>208</v>
      </c>
      <c r="H37" s="326">
        <v>1230</v>
      </c>
      <c r="I37" s="327">
        <v>42631</v>
      </c>
      <c r="J37" s="326">
        <v>5</v>
      </c>
      <c r="K37" s="326">
        <v>20000</v>
      </c>
      <c r="L37" s="326">
        <v>8200</v>
      </c>
      <c r="M37" s="352">
        <v>-2E-3</v>
      </c>
      <c r="N37" s="350">
        <f t="shared" si="1"/>
        <v>4.9999979999999997</v>
      </c>
      <c r="O37" s="326">
        <v>1.6E-2</v>
      </c>
      <c r="P37" s="331">
        <f t="shared" si="2"/>
        <v>0.89076687525312348</v>
      </c>
      <c r="Q37" s="326" t="str">
        <f t="shared" si="3"/>
        <v>M-001</v>
      </c>
      <c r="R37" s="351" t="s">
        <v>347</v>
      </c>
      <c r="AS37" s="299"/>
    </row>
    <row r="38" spans="2:45" ht="30" customHeight="1" x14ac:dyDescent="0.2">
      <c r="B38" s="527"/>
      <c r="C38" s="325" t="s">
        <v>209</v>
      </c>
      <c r="D38" s="326" t="s">
        <v>200</v>
      </c>
      <c r="E38" s="326" t="s">
        <v>182</v>
      </c>
      <c r="F38" s="326">
        <v>27129360</v>
      </c>
      <c r="G38" s="326" t="s">
        <v>210</v>
      </c>
      <c r="H38" s="326">
        <v>1230</v>
      </c>
      <c r="I38" s="327">
        <v>42631</v>
      </c>
      <c r="J38" s="326">
        <v>10</v>
      </c>
      <c r="K38" s="326">
        <v>25000</v>
      </c>
      <c r="L38" s="326">
        <v>10000</v>
      </c>
      <c r="M38" s="326">
        <v>4.0000000000000001E-3</v>
      </c>
      <c r="N38" s="350">
        <f t="shared" si="1"/>
        <v>10.000004000000001</v>
      </c>
      <c r="O38" s="352">
        <v>0.02</v>
      </c>
      <c r="P38" s="331">
        <f t="shared" si="2"/>
        <v>0.89076687525312348</v>
      </c>
      <c r="Q38" s="326" t="str">
        <f t="shared" si="3"/>
        <v>M-001</v>
      </c>
      <c r="R38" s="351" t="s">
        <v>347</v>
      </c>
      <c r="AS38" s="299"/>
    </row>
    <row r="39" spans="2:45" ht="30" customHeight="1" x14ac:dyDescent="0.2">
      <c r="B39" s="527"/>
      <c r="C39" s="325" t="s">
        <v>211</v>
      </c>
      <c r="D39" s="326" t="s">
        <v>200</v>
      </c>
      <c r="E39" s="326" t="s">
        <v>182</v>
      </c>
      <c r="F39" s="326">
        <v>27129360</v>
      </c>
      <c r="G39" s="326" t="s">
        <v>212</v>
      </c>
      <c r="H39" s="326">
        <v>1230</v>
      </c>
      <c r="I39" s="327">
        <v>42631</v>
      </c>
      <c r="J39" s="326">
        <v>20</v>
      </c>
      <c r="K39" s="326">
        <v>30000</v>
      </c>
      <c r="L39" s="326">
        <v>12000</v>
      </c>
      <c r="M39" s="326">
        <v>2.7E-2</v>
      </c>
      <c r="N39" s="350">
        <f t="shared" si="1"/>
        <v>20.000026999999999</v>
      </c>
      <c r="O39" s="326">
        <v>2.5000000000000001E-2</v>
      </c>
      <c r="P39" s="331">
        <f t="shared" si="2"/>
        <v>0.89076687525312348</v>
      </c>
      <c r="Q39" s="326" t="str">
        <f t="shared" si="3"/>
        <v>M-001</v>
      </c>
      <c r="R39" s="351" t="s">
        <v>347</v>
      </c>
      <c r="AS39" s="299"/>
    </row>
    <row r="40" spans="2:45" ht="30" customHeight="1" x14ac:dyDescent="0.2">
      <c r="B40" s="527"/>
      <c r="C40" s="325" t="s">
        <v>213</v>
      </c>
      <c r="D40" s="326" t="s">
        <v>200</v>
      </c>
      <c r="E40" s="326" t="s">
        <v>182</v>
      </c>
      <c r="F40" s="326">
        <v>27129360</v>
      </c>
      <c r="G40" s="326" t="s">
        <v>214</v>
      </c>
      <c r="H40" s="326">
        <v>1230</v>
      </c>
      <c r="I40" s="327">
        <v>42631</v>
      </c>
      <c r="J40" s="326">
        <v>20</v>
      </c>
      <c r="K40" s="326">
        <v>40000</v>
      </c>
      <c r="L40" s="326">
        <v>15000</v>
      </c>
      <c r="M40" s="326">
        <v>7.0000000000000001E-3</v>
      </c>
      <c r="N40" s="350">
        <f t="shared" si="1"/>
        <v>20.000007</v>
      </c>
      <c r="O40" s="326">
        <v>2.5000000000000001E-2</v>
      </c>
      <c r="P40" s="331">
        <f t="shared" si="2"/>
        <v>0.89076687525312348</v>
      </c>
      <c r="Q40" s="326" t="str">
        <f t="shared" si="3"/>
        <v>M-001</v>
      </c>
      <c r="R40" s="351" t="s">
        <v>347</v>
      </c>
      <c r="AS40" s="299"/>
    </row>
    <row r="41" spans="2:45" ht="30" customHeight="1" x14ac:dyDescent="0.2">
      <c r="B41" s="527"/>
      <c r="C41" s="325" t="s">
        <v>215</v>
      </c>
      <c r="D41" s="326" t="s">
        <v>200</v>
      </c>
      <c r="E41" s="326" t="s">
        <v>182</v>
      </c>
      <c r="F41" s="326">
        <v>27129360</v>
      </c>
      <c r="G41" s="326" t="s">
        <v>216</v>
      </c>
      <c r="H41" s="326">
        <v>1230</v>
      </c>
      <c r="I41" s="327">
        <v>42631</v>
      </c>
      <c r="J41" s="326">
        <v>50</v>
      </c>
      <c r="K41" s="353"/>
      <c r="L41" s="353"/>
      <c r="M41" s="326">
        <v>0.03</v>
      </c>
      <c r="N41" s="328">
        <f t="shared" si="1"/>
        <v>50.000030000000002</v>
      </c>
      <c r="O41" s="326">
        <v>0.03</v>
      </c>
      <c r="P41" s="331">
        <f t="shared" si="2"/>
        <v>0.89076687525312348</v>
      </c>
      <c r="Q41" s="326" t="str">
        <f t="shared" si="3"/>
        <v>M-001</v>
      </c>
      <c r="R41" s="351" t="s">
        <v>347</v>
      </c>
      <c r="AS41" s="299"/>
    </row>
    <row r="42" spans="2:45" ht="30" customHeight="1" x14ac:dyDescent="0.2">
      <c r="B42" s="527"/>
      <c r="C42" s="325" t="s">
        <v>217</v>
      </c>
      <c r="D42" s="326" t="s">
        <v>200</v>
      </c>
      <c r="E42" s="326" t="s">
        <v>182</v>
      </c>
      <c r="F42" s="326">
        <v>27129360</v>
      </c>
      <c r="G42" s="326" t="s">
        <v>218</v>
      </c>
      <c r="H42" s="326">
        <v>1230</v>
      </c>
      <c r="I42" s="327">
        <v>42631</v>
      </c>
      <c r="J42" s="326">
        <v>100</v>
      </c>
      <c r="K42" s="353"/>
      <c r="L42" s="353"/>
      <c r="M42" s="326">
        <v>0.06</v>
      </c>
      <c r="N42" s="328">
        <f t="shared" si="1"/>
        <v>100.00006</v>
      </c>
      <c r="O42" s="326">
        <v>0.05</v>
      </c>
      <c r="P42" s="331">
        <f t="shared" si="2"/>
        <v>0.89076687525312348</v>
      </c>
      <c r="Q42" s="326" t="str">
        <f t="shared" si="3"/>
        <v>M-001</v>
      </c>
      <c r="R42" s="351" t="s">
        <v>347</v>
      </c>
      <c r="AS42" s="299"/>
    </row>
    <row r="43" spans="2:45" ht="30" customHeight="1" x14ac:dyDescent="0.2">
      <c r="B43" s="527"/>
      <c r="C43" s="325" t="s">
        <v>219</v>
      </c>
      <c r="D43" s="326" t="s">
        <v>200</v>
      </c>
      <c r="E43" s="326" t="s">
        <v>182</v>
      </c>
      <c r="F43" s="326">
        <v>27129360</v>
      </c>
      <c r="G43" s="326" t="s">
        <v>220</v>
      </c>
      <c r="H43" s="326">
        <v>1230</v>
      </c>
      <c r="I43" s="327">
        <v>42631</v>
      </c>
      <c r="J43" s="326">
        <v>200</v>
      </c>
      <c r="K43" s="353"/>
      <c r="L43" s="353"/>
      <c r="M43" s="326">
        <v>-0.06</v>
      </c>
      <c r="N43" s="328">
        <f t="shared" si="1"/>
        <v>199.99994000000001</v>
      </c>
      <c r="O43" s="329">
        <v>0.1</v>
      </c>
      <c r="P43" s="331">
        <f t="shared" si="2"/>
        <v>0.89076687525312348</v>
      </c>
      <c r="Q43" s="326" t="str">
        <f t="shared" si="3"/>
        <v>M-001</v>
      </c>
      <c r="R43" s="351" t="s">
        <v>347</v>
      </c>
      <c r="AS43" s="299"/>
    </row>
    <row r="44" spans="2:45" ht="30" customHeight="1" x14ac:dyDescent="0.2">
      <c r="B44" s="527"/>
      <c r="C44" s="325" t="s">
        <v>221</v>
      </c>
      <c r="D44" s="326" t="s">
        <v>200</v>
      </c>
      <c r="E44" s="326" t="s">
        <v>182</v>
      </c>
      <c r="F44" s="326">
        <v>27129360</v>
      </c>
      <c r="G44" s="326" t="s">
        <v>222</v>
      </c>
      <c r="H44" s="326">
        <v>1230</v>
      </c>
      <c r="I44" s="327">
        <v>42631</v>
      </c>
      <c r="J44" s="326">
        <v>200</v>
      </c>
      <c r="K44" s="353"/>
      <c r="L44" s="353"/>
      <c r="M44" s="326">
        <v>0.16</v>
      </c>
      <c r="N44" s="328">
        <f t="shared" si="1"/>
        <v>200.00015999999999</v>
      </c>
      <c r="O44" s="329">
        <v>0.1</v>
      </c>
      <c r="P44" s="331">
        <f t="shared" si="2"/>
        <v>0.89076687525312348</v>
      </c>
      <c r="Q44" s="326" t="str">
        <f t="shared" si="3"/>
        <v>M-001</v>
      </c>
      <c r="R44" s="351" t="s">
        <v>347</v>
      </c>
      <c r="AS44" s="299"/>
    </row>
    <row r="45" spans="2:45" ht="30" customHeight="1" x14ac:dyDescent="0.2">
      <c r="B45" s="527"/>
      <c r="C45" s="325" t="s">
        <v>223</v>
      </c>
      <c r="D45" s="326" t="s">
        <v>200</v>
      </c>
      <c r="E45" s="326" t="s">
        <v>182</v>
      </c>
      <c r="F45" s="326">
        <v>27129360</v>
      </c>
      <c r="G45" s="326" t="s">
        <v>224</v>
      </c>
      <c r="H45" s="326">
        <v>1230</v>
      </c>
      <c r="I45" s="327">
        <v>42631</v>
      </c>
      <c r="J45" s="326">
        <v>500</v>
      </c>
      <c r="K45" s="353"/>
      <c r="L45" s="353"/>
      <c r="M45" s="326">
        <v>0.35</v>
      </c>
      <c r="N45" s="328">
        <f t="shared" si="1"/>
        <v>500.00035000000003</v>
      </c>
      <c r="O45" s="326">
        <v>0.25</v>
      </c>
      <c r="P45" s="331">
        <f t="shared" si="2"/>
        <v>0.89076687525312348</v>
      </c>
      <c r="Q45" s="326" t="str">
        <f t="shared" si="3"/>
        <v>M-001</v>
      </c>
      <c r="R45" s="351" t="s">
        <v>347</v>
      </c>
      <c r="AS45" s="299"/>
    </row>
    <row r="46" spans="2:45" ht="30" customHeight="1" x14ac:dyDescent="0.2">
      <c r="B46" s="527"/>
      <c r="C46" s="325" t="s">
        <v>225</v>
      </c>
      <c r="D46" s="326" t="s">
        <v>200</v>
      </c>
      <c r="E46" s="326" t="s">
        <v>182</v>
      </c>
      <c r="F46" s="326">
        <v>27129360</v>
      </c>
      <c r="G46" s="326" t="s">
        <v>226</v>
      </c>
      <c r="H46" s="326">
        <v>1230</v>
      </c>
      <c r="I46" s="327">
        <v>42631</v>
      </c>
      <c r="J46" s="326">
        <v>1000</v>
      </c>
      <c r="K46" s="353"/>
      <c r="L46" s="353"/>
      <c r="M46" s="326">
        <v>0.7</v>
      </c>
      <c r="N46" s="331">
        <f t="shared" si="1"/>
        <v>1000.0007000000001</v>
      </c>
      <c r="O46" s="326">
        <v>0.5</v>
      </c>
      <c r="P46" s="331">
        <f t="shared" si="2"/>
        <v>0.89076687525312348</v>
      </c>
      <c r="Q46" s="326" t="str">
        <f t="shared" si="3"/>
        <v>M-001</v>
      </c>
      <c r="R46" s="351" t="s">
        <v>347</v>
      </c>
      <c r="AS46" s="299"/>
    </row>
    <row r="47" spans="2:45" ht="30" customHeight="1" x14ac:dyDescent="0.2">
      <c r="B47" s="527"/>
      <c r="C47" s="325" t="s">
        <v>227</v>
      </c>
      <c r="D47" s="326" t="s">
        <v>200</v>
      </c>
      <c r="E47" s="326" t="s">
        <v>182</v>
      </c>
      <c r="F47" s="326">
        <v>27129360</v>
      </c>
      <c r="G47" s="326" t="s">
        <v>228</v>
      </c>
      <c r="H47" s="326">
        <v>1230</v>
      </c>
      <c r="I47" s="327">
        <v>42631</v>
      </c>
      <c r="J47" s="326">
        <v>2000</v>
      </c>
      <c r="K47" s="353"/>
      <c r="L47" s="353"/>
      <c r="M47" s="326">
        <v>1.2</v>
      </c>
      <c r="N47" s="331">
        <f t="shared" si="1"/>
        <v>2000.0011999999999</v>
      </c>
      <c r="O47" s="332">
        <v>1</v>
      </c>
      <c r="P47" s="331">
        <f t="shared" si="2"/>
        <v>0.89076687525312348</v>
      </c>
      <c r="Q47" s="326" t="str">
        <f t="shared" si="3"/>
        <v>M-001</v>
      </c>
      <c r="R47" s="351" t="s">
        <v>347</v>
      </c>
      <c r="AS47" s="299"/>
    </row>
    <row r="48" spans="2:45" ht="30" customHeight="1" x14ac:dyDescent="0.2">
      <c r="B48" s="527"/>
      <c r="C48" s="325" t="s">
        <v>229</v>
      </c>
      <c r="D48" s="326" t="s">
        <v>200</v>
      </c>
      <c r="E48" s="326" t="s">
        <v>182</v>
      </c>
      <c r="F48" s="326">
        <v>27129360</v>
      </c>
      <c r="G48" s="326" t="s">
        <v>230</v>
      </c>
      <c r="H48" s="326">
        <v>1230</v>
      </c>
      <c r="I48" s="327">
        <v>42631</v>
      </c>
      <c r="J48" s="326">
        <v>2000</v>
      </c>
      <c r="K48" s="353"/>
      <c r="L48" s="353"/>
      <c r="M48" s="326">
        <v>1.1000000000000001</v>
      </c>
      <c r="N48" s="331">
        <f t="shared" si="1"/>
        <v>2000.0011</v>
      </c>
      <c r="O48" s="332">
        <v>1</v>
      </c>
      <c r="P48" s="331">
        <f t="shared" si="2"/>
        <v>0.89076687525312348</v>
      </c>
      <c r="Q48" s="326" t="str">
        <f t="shared" si="3"/>
        <v>M-001</v>
      </c>
      <c r="R48" s="351" t="s">
        <v>347</v>
      </c>
      <c r="AS48" s="299"/>
    </row>
    <row r="49" spans="2:50" ht="30" customHeight="1" x14ac:dyDescent="0.2">
      <c r="B49" s="527"/>
      <c r="C49" s="325" t="s">
        <v>231</v>
      </c>
      <c r="D49" s="326" t="s">
        <v>200</v>
      </c>
      <c r="E49" s="326" t="s">
        <v>182</v>
      </c>
      <c r="F49" s="326">
        <v>27129360</v>
      </c>
      <c r="G49" s="326" t="s">
        <v>232</v>
      </c>
      <c r="H49" s="326">
        <v>1230</v>
      </c>
      <c r="I49" s="327">
        <v>42631</v>
      </c>
      <c r="J49" s="326">
        <v>5000</v>
      </c>
      <c r="K49" s="353"/>
      <c r="L49" s="353"/>
      <c r="M49" s="326">
        <v>3.7</v>
      </c>
      <c r="N49" s="331">
        <f t="shared" si="1"/>
        <v>5000.0037000000002</v>
      </c>
      <c r="O49" s="326">
        <v>2.5</v>
      </c>
      <c r="P49" s="331">
        <f t="shared" si="2"/>
        <v>0.89076687525312348</v>
      </c>
      <c r="Q49" s="326" t="str">
        <f t="shared" si="3"/>
        <v>M-001</v>
      </c>
      <c r="R49" s="351" t="s">
        <v>347</v>
      </c>
      <c r="AS49" s="299"/>
    </row>
    <row r="50" spans="2:50" ht="30" customHeight="1" thickBot="1" x14ac:dyDescent="0.25">
      <c r="B50" s="528"/>
      <c r="C50" s="354" t="s">
        <v>233</v>
      </c>
      <c r="D50" s="355" t="s">
        <v>200</v>
      </c>
      <c r="E50" s="355" t="s">
        <v>182</v>
      </c>
      <c r="F50" s="355">
        <v>27129360</v>
      </c>
      <c r="G50" s="355" t="s">
        <v>234</v>
      </c>
      <c r="H50" s="355">
        <v>1230</v>
      </c>
      <c r="I50" s="356">
        <v>42631</v>
      </c>
      <c r="J50" s="355">
        <v>10000</v>
      </c>
      <c r="K50" s="357"/>
      <c r="L50" s="357"/>
      <c r="M50" s="355">
        <v>8.6999999999999993</v>
      </c>
      <c r="N50" s="358">
        <f t="shared" si="1"/>
        <v>10000.0087</v>
      </c>
      <c r="O50" s="359">
        <v>5</v>
      </c>
      <c r="P50" s="358">
        <f t="shared" si="2"/>
        <v>0.89076687525312348</v>
      </c>
      <c r="Q50" s="355" t="str">
        <f t="shared" si="3"/>
        <v>M-001</v>
      </c>
      <c r="R50" s="360" t="s">
        <v>347</v>
      </c>
      <c r="AS50" s="299"/>
    </row>
    <row r="51" spans="2:50" ht="30" customHeight="1" x14ac:dyDescent="0.2">
      <c r="B51" s="523" t="s">
        <v>349</v>
      </c>
      <c r="C51" s="318" t="s">
        <v>235</v>
      </c>
      <c r="D51" s="319" t="s">
        <v>236</v>
      </c>
      <c r="E51" s="319" t="s">
        <v>352</v>
      </c>
      <c r="F51" s="319">
        <v>11119515</v>
      </c>
      <c r="G51" s="319">
        <v>1</v>
      </c>
      <c r="H51" s="319">
        <v>100405</v>
      </c>
      <c r="I51" s="320">
        <v>42615</v>
      </c>
      <c r="J51" s="319">
        <v>1</v>
      </c>
      <c r="K51" s="361"/>
      <c r="L51" s="361"/>
      <c r="M51" s="319">
        <v>0.04</v>
      </c>
      <c r="N51" s="362">
        <f t="shared" si="1"/>
        <v>1.00004</v>
      </c>
      <c r="O51" s="319">
        <v>0.03</v>
      </c>
      <c r="P51" s="363">
        <f>(0.34848*((750.3+756.2)/2)-0.009024*((43.6+60.2)/2)*EXP(0.0612*((19.1+21.1)/2)))/(273.15+((19.1+21.1)/2))</f>
        <v>0.88965063908070108</v>
      </c>
      <c r="Q51" s="319" t="s">
        <v>237</v>
      </c>
      <c r="R51" s="324" t="s">
        <v>347</v>
      </c>
      <c r="AS51" s="299"/>
      <c r="AT51" s="294"/>
      <c r="AU51" s="294"/>
    </row>
    <row r="52" spans="2:50" ht="30" customHeight="1" x14ac:dyDescent="0.2">
      <c r="B52" s="524"/>
      <c r="C52" s="325" t="s">
        <v>238</v>
      </c>
      <c r="D52" s="326" t="s">
        <v>236</v>
      </c>
      <c r="E52" s="326" t="s">
        <v>352</v>
      </c>
      <c r="F52" s="326">
        <v>11119515</v>
      </c>
      <c r="G52" s="326" t="s">
        <v>240</v>
      </c>
      <c r="H52" s="326">
        <v>100405</v>
      </c>
      <c r="I52" s="327">
        <f>I51</f>
        <v>42615</v>
      </c>
      <c r="J52" s="326">
        <v>2</v>
      </c>
      <c r="K52" s="353"/>
      <c r="L52" s="353"/>
      <c r="M52" s="326">
        <v>0.06</v>
      </c>
      <c r="N52" s="328">
        <f t="shared" si="1"/>
        <v>2.0000599999999999</v>
      </c>
      <c r="O52" s="326">
        <v>0.04</v>
      </c>
      <c r="P52" s="363">
        <f t="shared" ref="P52:P66" si="4">(0.34848*((750.3+756.2)/2)-0.009024*((43.6+60.2)/2)*EXP(0.0612*((19.1+21.1)/2)))/(273.15+((19.1+21.1)/2))</f>
        <v>0.88965063908070108</v>
      </c>
      <c r="Q52" s="326" t="str">
        <f t="shared" ref="Q52:Q66" si="5">Q51</f>
        <v>M-002</v>
      </c>
      <c r="R52" s="324" t="s">
        <v>347</v>
      </c>
      <c r="AS52" s="299"/>
      <c r="AT52" s="294"/>
      <c r="AU52" s="294"/>
    </row>
    <row r="53" spans="2:50" ht="30" customHeight="1" x14ac:dyDescent="0.2">
      <c r="B53" s="524"/>
      <c r="C53" s="325" t="s">
        <v>239</v>
      </c>
      <c r="D53" s="326" t="s">
        <v>236</v>
      </c>
      <c r="E53" s="326" t="s">
        <v>352</v>
      </c>
      <c r="F53" s="326">
        <v>11119515</v>
      </c>
      <c r="G53" s="326">
        <v>2</v>
      </c>
      <c r="H53" s="326">
        <v>100405</v>
      </c>
      <c r="I53" s="327">
        <f t="shared" ref="I53:I66" si="6">I52</f>
        <v>42615</v>
      </c>
      <c r="J53" s="326">
        <v>2</v>
      </c>
      <c r="K53" s="353"/>
      <c r="L53" s="353"/>
      <c r="M53" s="326">
        <v>0.04</v>
      </c>
      <c r="N53" s="328">
        <f t="shared" si="1"/>
        <v>2.0000399999999998</v>
      </c>
      <c r="O53" s="326">
        <v>0.04</v>
      </c>
      <c r="P53" s="363">
        <f t="shared" si="4"/>
        <v>0.88965063908070108</v>
      </c>
      <c r="Q53" s="326" t="str">
        <f t="shared" si="5"/>
        <v>M-002</v>
      </c>
      <c r="R53" s="324" t="s">
        <v>347</v>
      </c>
      <c r="AS53" s="299"/>
      <c r="AT53" s="294"/>
      <c r="AU53" s="294"/>
    </row>
    <row r="54" spans="2:50" ht="30" customHeight="1" x14ac:dyDescent="0.2">
      <c r="B54" s="524"/>
      <c r="C54" s="325" t="s">
        <v>241</v>
      </c>
      <c r="D54" s="326" t="s">
        <v>236</v>
      </c>
      <c r="E54" s="326" t="s">
        <v>352</v>
      </c>
      <c r="F54" s="326">
        <v>11119515</v>
      </c>
      <c r="G54" s="326">
        <v>5</v>
      </c>
      <c r="H54" s="326">
        <v>100405</v>
      </c>
      <c r="I54" s="327">
        <f t="shared" si="6"/>
        <v>42615</v>
      </c>
      <c r="J54" s="326">
        <v>5</v>
      </c>
      <c r="K54" s="353"/>
      <c r="L54" s="353"/>
      <c r="M54" s="329">
        <v>0</v>
      </c>
      <c r="N54" s="328">
        <f t="shared" si="1"/>
        <v>5</v>
      </c>
      <c r="O54" s="326">
        <v>0.05</v>
      </c>
      <c r="P54" s="363">
        <f t="shared" si="4"/>
        <v>0.88965063908070108</v>
      </c>
      <c r="Q54" s="326" t="str">
        <f t="shared" si="5"/>
        <v>M-002</v>
      </c>
      <c r="R54" s="324" t="s">
        <v>347</v>
      </c>
      <c r="AS54" s="299"/>
      <c r="AT54" s="294"/>
      <c r="AU54" s="294"/>
    </row>
    <row r="55" spans="2:50" ht="30" customHeight="1" x14ac:dyDescent="0.2">
      <c r="B55" s="524"/>
      <c r="C55" s="325" t="s">
        <v>243</v>
      </c>
      <c r="D55" s="326" t="s">
        <v>236</v>
      </c>
      <c r="E55" s="326" t="s">
        <v>352</v>
      </c>
      <c r="F55" s="326">
        <v>11119515</v>
      </c>
      <c r="G55" s="326">
        <v>10</v>
      </c>
      <c r="H55" s="326">
        <v>100405</v>
      </c>
      <c r="I55" s="327">
        <f t="shared" si="6"/>
        <v>42615</v>
      </c>
      <c r="J55" s="326">
        <v>10</v>
      </c>
      <c r="K55" s="353"/>
      <c r="L55" s="353"/>
      <c r="M55" s="326">
        <v>0.05</v>
      </c>
      <c r="N55" s="328">
        <f t="shared" si="1"/>
        <v>10.00005</v>
      </c>
      <c r="O55" s="326">
        <v>0.06</v>
      </c>
      <c r="P55" s="363">
        <f t="shared" si="4"/>
        <v>0.88965063908070108</v>
      </c>
      <c r="Q55" s="326" t="str">
        <f t="shared" si="5"/>
        <v>M-002</v>
      </c>
      <c r="R55" s="324" t="s">
        <v>347</v>
      </c>
      <c r="AS55" s="299"/>
      <c r="AT55" s="294"/>
      <c r="AU55" s="294"/>
    </row>
    <row r="56" spans="2:50" ht="30" customHeight="1" x14ac:dyDescent="0.2">
      <c r="B56" s="524"/>
      <c r="C56" s="325" t="s">
        <v>245</v>
      </c>
      <c r="D56" s="326" t="s">
        <v>236</v>
      </c>
      <c r="E56" s="326" t="s">
        <v>352</v>
      </c>
      <c r="F56" s="326">
        <v>11119515</v>
      </c>
      <c r="G56" s="326" t="s">
        <v>247</v>
      </c>
      <c r="H56" s="326">
        <v>100405</v>
      </c>
      <c r="I56" s="327">
        <f t="shared" si="6"/>
        <v>42615</v>
      </c>
      <c r="J56" s="326">
        <v>20</v>
      </c>
      <c r="K56" s="353"/>
      <c r="L56" s="353"/>
      <c r="M56" s="326">
        <v>7.0000000000000007E-2</v>
      </c>
      <c r="N56" s="328">
        <f t="shared" si="1"/>
        <v>20.000070000000001</v>
      </c>
      <c r="O56" s="326">
        <v>0.08</v>
      </c>
      <c r="P56" s="363">
        <f t="shared" si="4"/>
        <v>0.88965063908070108</v>
      </c>
      <c r="Q56" s="326" t="str">
        <f t="shared" si="5"/>
        <v>M-002</v>
      </c>
      <c r="R56" s="324" t="s">
        <v>347</v>
      </c>
      <c r="AS56" s="299"/>
      <c r="AT56" s="294"/>
      <c r="AU56" s="294"/>
    </row>
    <row r="57" spans="2:50" ht="30" customHeight="1" x14ac:dyDescent="0.2">
      <c r="B57" s="524"/>
      <c r="C57" s="325" t="s">
        <v>246</v>
      </c>
      <c r="D57" s="326" t="s">
        <v>236</v>
      </c>
      <c r="E57" s="326" t="s">
        <v>352</v>
      </c>
      <c r="F57" s="326">
        <v>11119515</v>
      </c>
      <c r="G57" s="326">
        <v>20</v>
      </c>
      <c r="H57" s="326">
        <v>100405</v>
      </c>
      <c r="I57" s="327">
        <f t="shared" si="6"/>
        <v>42615</v>
      </c>
      <c r="J57" s="326">
        <v>20</v>
      </c>
      <c r="K57" s="353"/>
      <c r="L57" s="353"/>
      <c r="M57" s="326">
        <v>0.08</v>
      </c>
      <c r="N57" s="328">
        <f t="shared" si="1"/>
        <v>20.000080000000001</v>
      </c>
      <c r="O57" s="326">
        <v>0.08</v>
      </c>
      <c r="P57" s="363">
        <f t="shared" si="4"/>
        <v>0.88965063908070108</v>
      </c>
      <c r="Q57" s="326" t="str">
        <f t="shared" si="5"/>
        <v>M-002</v>
      </c>
      <c r="R57" s="324" t="s">
        <v>347</v>
      </c>
      <c r="AS57" s="299"/>
      <c r="AT57" s="294"/>
      <c r="AU57" s="294"/>
    </row>
    <row r="58" spans="2:50" ht="30" customHeight="1" x14ac:dyDescent="0.2">
      <c r="B58" s="524"/>
      <c r="C58" s="325" t="s">
        <v>248</v>
      </c>
      <c r="D58" s="326" t="s">
        <v>236</v>
      </c>
      <c r="E58" s="326" t="s">
        <v>352</v>
      </c>
      <c r="F58" s="326">
        <v>11119515</v>
      </c>
      <c r="G58" s="326">
        <v>50</v>
      </c>
      <c r="H58" s="326">
        <v>100405</v>
      </c>
      <c r="I58" s="327">
        <f t="shared" si="6"/>
        <v>42615</v>
      </c>
      <c r="J58" s="326">
        <v>50</v>
      </c>
      <c r="K58" s="353"/>
      <c r="L58" s="353"/>
      <c r="M58" s="326">
        <v>0.19</v>
      </c>
      <c r="N58" s="328">
        <f t="shared" si="1"/>
        <v>50.000190000000003</v>
      </c>
      <c r="O58" s="329">
        <v>0.1</v>
      </c>
      <c r="P58" s="363">
        <f t="shared" si="4"/>
        <v>0.88965063908070108</v>
      </c>
      <c r="Q58" s="326" t="str">
        <f t="shared" si="5"/>
        <v>M-002</v>
      </c>
      <c r="R58" s="324" t="s">
        <v>347</v>
      </c>
      <c r="AS58" s="299"/>
      <c r="AT58" s="294"/>
      <c r="AU58" s="294"/>
    </row>
    <row r="59" spans="2:50" ht="30" customHeight="1" x14ac:dyDescent="0.2">
      <c r="B59" s="524"/>
      <c r="C59" s="325" t="s">
        <v>249</v>
      </c>
      <c r="D59" s="326" t="s">
        <v>236</v>
      </c>
      <c r="E59" s="326" t="s">
        <v>352</v>
      </c>
      <c r="F59" s="326">
        <v>11119515</v>
      </c>
      <c r="G59" s="326">
        <v>100</v>
      </c>
      <c r="H59" s="326">
        <v>100405</v>
      </c>
      <c r="I59" s="327">
        <f t="shared" si="6"/>
        <v>42615</v>
      </c>
      <c r="J59" s="326">
        <v>100</v>
      </c>
      <c r="K59" s="353"/>
      <c r="L59" s="353"/>
      <c r="M59" s="326">
        <v>0.13</v>
      </c>
      <c r="N59" s="328">
        <f t="shared" si="1"/>
        <v>100.00013</v>
      </c>
      <c r="O59" s="326">
        <v>0.16</v>
      </c>
      <c r="P59" s="363">
        <f t="shared" si="4"/>
        <v>0.88965063908070108</v>
      </c>
      <c r="Q59" s="326" t="str">
        <f t="shared" si="5"/>
        <v>M-002</v>
      </c>
      <c r="R59" s="324" t="s">
        <v>347</v>
      </c>
      <c r="AT59" s="299"/>
      <c r="AU59" s="294"/>
      <c r="AV59" s="294"/>
    </row>
    <row r="60" spans="2:50" ht="30" customHeight="1" x14ac:dyDescent="0.2">
      <c r="B60" s="524"/>
      <c r="C60" s="325" t="s">
        <v>251</v>
      </c>
      <c r="D60" s="326" t="s">
        <v>236</v>
      </c>
      <c r="E60" s="326" t="s">
        <v>352</v>
      </c>
      <c r="F60" s="326">
        <v>11119515</v>
      </c>
      <c r="G60" s="326" t="s">
        <v>253</v>
      </c>
      <c r="H60" s="326">
        <v>100405</v>
      </c>
      <c r="I60" s="327">
        <f t="shared" si="6"/>
        <v>42615</v>
      </c>
      <c r="J60" s="326">
        <v>200</v>
      </c>
      <c r="K60" s="353"/>
      <c r="L60" s="353"/>
      <c r="M60" s="326">
        <v>0.2</v>
      </c>
      <c r="N60" s="331">
        <f t="shared" si="1"/>
        <v>200.00020000000001</v>
      </c>
      <c r="O60" s="326">
        <v>0.3</v>
      </c>
      <c r="P60" s="363">
        <f t="shared" si="4"/>
        <v>0.88965063908070108</v>
      </c>
      <c r="Q60" s="326" t="str">
        <f t="shared" si="5"/>
        <v>M-002</v>
      </c>
      <c r="R60" s="324" t="s">
        <v>347</v>
      </c>
      <c r="AT60" s="299"/>
      <c r="AU60" s="294"/>
      <c r="AV60" s="294"/>
    </row>
    <row r="61" spans="2:50" ht="30" customHeight="1" x14ac:dyDescent="0.2">
      <c r="B61" s="524"/>
      <c r="C61" s="325" t="s">
        <v>252</v>
      </c>
      <c r="D61" s="326" t="s">
        <v>236</v>
      </c>
      <c r="E61" s="326" t="s">
        <v>352</v>
      </c>
      <c r="F61" s="326">
        <v>11119515</v>
      </c>
      <c r="G61" s="326">
        <v>200</v>
      </c>
      <c r="H61" s="326">
        <v>100405</v>
      </c>
      <c r="I61" s="327">
        <f t="shared" si="6"/>
        <v>42615</v>
      </c>
      <c r="J61" s="326">
        <v>200</v>
      </c>
      <c r="K61" s="353"/>
      <c r="L61" s="353"/>
      <c r="M61" s="326">
        <v>0.3</v>
      </c>
      <c r="N61" s="331">
        <f t="shared" si="1"/>
        <v>200.00030000000001</v>
      </c>
      <c r="O61" s="326">
        <v>0.3</v>
      </c>
      <c r="P61" s="363">
        <f t="shared" si="4"/>
        <v>0.88965063908070108</v>
      </c>
      <c r="Q61" s="326" t="str">
        <f t="shared" si="5"/>
        <v>M-002</v>
      </c>
      <c r="R61" s="324" t="s">
        <v>347</v>
      </c>
      <c r="AT61" s="299"/>
      <c r="AU61" s="294"/>
      <c r="AV61" s="294"/>
    </row>
    <row r="62" spans="2:50" ht="30" customHeight="1" x14ac:dyDescent="0.2">
      <c r="B62" s="524"/>
      <c r="C62" s="325" t="s">
        <v>254</v>
      </c>
      <c r="D62" s="326" t="s">
        <v>236</v>
      </c>
      <c r="E62" s="326" t="s">
        <v>352</v>
      </c>
      <c r="F62" s="326">
        <v>11119515</v>
      </c>
      <c r="G62" s="326">
        <v>500</v>
      </c>
      <c r="H62" s="326">
        <v>100405</v>
      </c>
      <c r="I62" s="327">
        <f t="shared" si="6"/>
        <v>42615</v>
      </c>
      <c r="J62" s="326">
        <v>500</v>
      </c>
      <c r="K62" s="353"/>
      <c r="L62" s="353"/>
      <c r="M62" s="326">
        <v>0.8</v>
      </c>
      <c r="N62" s="331">
        <f t="shared" si="1"/>
        <v>500.00080000000003</v>
      </c>
      <c r="O62" s="326">
        <v>0.8</v>
      </c>
      <c r="P62" s="363">
        <f t="shared" si="4"/>
        <v>0.88965063908070108</v>
      </c>
      <c r="Q62" s="326" t="str">
        <f t="shared" si="5"/>
        <v>M-002</v>
      </c>
      <c r="R62" s="324" t="s">
        <v>347</v>
      </c>
      <c r="AI62" s="364"/>
      <c r="AJ62" s="364"/>
      <c r="AK62" s="364"/>
      <c r="AQ62" s="365"/>
      <c r="AR62" s="365"/>
      <c r="AS62" s="299"/>
      <c r="AT62" s="299"/>
      <c r="AU62" s="294"/>
      <c r="AV62" s="294"/>
    </row>
    <row r="63" spans="2:50" ht="30" customHeight="1" x14ac:dyDescent="0.2">
      <c r="B63" s="524"/>
      <c r="C63" s="325" t="s">
        <v>255</v>
      </c>
      <c r="D63" s="326" t="s">
        <v>236</v>
      </c>
      <c r="E63" s="326" t="s">
        <v>352</v>
      </c>
      <c r="F63" s="326">
        <v>11119515</v>
      </c>
      <c r="G63" s="326">
        <v>1</v>
      </c>
      <c r="H63" s="326">
        <v>100405</v>
      </c>
      <c r="I63" s="327">
        <f t="shared" si="6"/>
        <v>42615</v>
      </c>
      <c r="J63" s="326">
        <v>1000</v>
      </c>
      <c r="K63" s="353"/>
      <c r="L63" s="353"/>
      <c r="M63" s="326">
        <v>1.9</v>
      </c>
      <c r="N63" s="331">
        <f t="shared" si="1"/>
        <v>1000.0019</v>
      </c>
      <c r="O63" s="326">
        <v>1.6</v>
      </c>
      <c r="P63" s="363">
        <f t="shared" si="4"/>
        <v>0.88965063908070108</v>
      </c>
      <c r="Q63" s="326" t="str">
        <f t="shared" si="5"/>
        <v>M-002</v>
      </c>
      <c r="R63" s="324" t="s">
        <v>347</v>
      </c>
      <c r="AI63" s="366"/>
      <c r="AJ63" s="366"/>
      <c r="AK63" s="366"/>
      <c r="AQ63" s="366"/>
      <c r="AR63" s="366"/>
      <c r="AS63" s="366"/>
      <c r="AT63" s="366"/>
      <c r="AU63" s="366"/>
      <c r="AV63" s="366"/>
      <c r="AW63" s="366"/>
      <c r="AX63" s="366"/>
    </row>
    <row r="64" spans="2:50" ht="30" customHeight="1" x14ac:dyDescent="0.2">
      <c r="B64" s="524"/>
      <c r="C64" s="325" t="s">
        <v>256</v>
      </c>
      <c r="D64" s="326" t="s">
        <v>236</v>
      </c>
      <c r="E64" s="326" t="s">
        <v>352</v>
      </c>
      <c r="F64" s="326">
        <v>11119515</v>
      </c>
      <c r="G64" s="326" t="s">
        <v>240</v>
      </c>
      <c r="H64" s="326">
        <v>100405</v>
      </c>
      <c r="I64" s="327">
        <f t="shared" si="6"/>
        <v>42615</v>
      </c>
      <c r="J64" s="326">
        <v>2000</v>
      </c>
      <c r="K64" s="353"/>
      <c r="L64" s="353"/>
      <c r="M64" s="332">
        <v>2.2000000000000002</v>
      </c>
      <c r="N64" s="331">
        <f t="shared" si="1"/>
        <v>2000.0021999999999</v>
      </c>
      <c r="O64" s="332">
        <v>3</v>
      </c>
      <c r="P64" s="363">
        <f t="shared" si="4"/>
        <v>0.88965063908070108</v>
      </c>
      <c r="Q64" s="326" t="str">
        <f t="shared" si="5"/>
        <v>M-002</v>
      </c>
      <c r="R64" s="324" t="s">
        <v>347</v>
      </c>
      <c r="AE64" s="366"/>
      <c r="AF64" s="366"/>
      <c r="AG64" s="366"/>
      <c r="AH64" s="366"/>
      <c r="AI64" s="366"/>
      <c r="AJ64" s="366"/>
      <c r="AK64" s="366"/>
      <c r="AQ64" s="366"/>
      <c r="AR64" s="366"/>
      <c r="AS64" s="366"/>
      <c r="AT64" s="366"/>
      <c r="AU64" s="366"/>
      <c r="AV64" s="366"/>
      <c r="AW64" s="366"/>
      <c r="AX64" s="366"/>
    </row>
    <row r="65" spans="2:50" ht="30" customHeight="1" x14ac:dyDescent="0.2">
      <c r="B65" s="524"/>
      <c r="C65" s="325" t="s">
        <v>257</v>
      </c>
      <c r="D65" s="326" t="s">
        <v>236</v>
      </c>
      <c r="E65" s="326" t="s">
        <v>352</v>
      </c>
      <c r="F65" s="326">
        <v>11119515</v>
      </c>
      <c r="G65" s="326">
        <v>2</v>
      </c>
      <c r="H65" s="326">
        <v>100405</v>
      </c>
      <c r="I65" s="327">
        <f t="shared" si="6"/>
        <v>42615</v>
      </c>
      <c r="J65" s="326">
        <v>2000</v>
      </c>
      <c r="K65" s="353"/>
      <c r="L65" s="353"/>
      <c r="M65" s="332">
        <v>2</v>
      </c>
      <c r="N65" s="331">
        <f t="shared" si="1"/>
        <v>2000.002</v>
      </c>
      <c r="O65" s="332">
        <v>3</v>
      </c>
      <c r="P65" s="363">
        <f t="shared" si="4"/>
        <v>0.88965063908070108</v>
      </c>
      <c r="Q65" s="326" t="str">
        <f t="shared" si="5"/>
        <v>M-002</v>
      </c>
      <c r="R65" s="324" t="s">
        <v>347</v>
      </c>
      <c r="S65" s="293"/>
      <c r="T65" s="293"/>
      <c r="U65" s="293"/>
      <c r="V65" s="293"/>
      <c r="W65" s="293"/>
      <c r="X65" s="293"/>
      <c r="Y65" s="366"/>
      <c r="Z65" s="366"/>
      <c r="AA65" s="366"/>
      <c r="AB65" s="366"/>
      <c r="AC65" s="366"/>
      <c r="AD65" s="366"/>
      <c r="AE65" s="366"/>
      <c r="AF65" s="366"/>
      <c r="AG65" s="366"/>
      <c r="AH65" s="366"/>
      <c r="AI65" s="366"/>
      <c r="AJ65" s="366"/>
      <c r="AK65" s="366"/>
      <c r="AQ65" s="366"/>
      <c r="AR65" s="366"/>
      <c r="AS65" s="366"/>
      <c r="AT65" s="366"/>
      <c r="AU65" s="366"/>
      <c r="AV65" s="366"/>
      <c r="AW65" s="366"/>
      <c r="AX65" s="366"/>
    </row>
    <row r="66" spans="2:50" ht="30" customHeight="1" thickBot="1" x14ac:dyDescent="0.25">
      <c r="B66" s="525"/>
      <c r="C66" s="333" t="s">
        <v>258</v>
      </c>
      <c r="D66" s="334" t="s">
        <v>236</v>
      </c>
      <c r="E66" s="334" t="s">
        <v>352</v>
      </c>
      <c r="F66" s="334">
        <v>11119515</v>
      </c>
      <c r="G66" s="334">
        <v>5</v>
      </c>
      <c r="H66" s="334">
        <v>100405</v>
      </c>
      <c r="I66" s="335">
        <f t="shared" si="6"/>
        <v>42615</v>
      </c>
      <c r="J66" s="334">
        <v>5000</v>
      </c>
      <c r="K66" s="367"/>
      <c r="L66" s="367"/>
      <c r="M66" s="334">
        <v>5.9</v>
      </c>
      <c r="N66" s="368">
        <f t="shared" si="1"/>
        <v>5000.0059000000001</v>
      </c>
      <c r="O66" s="369">
        <v>8</v>
      </c>
      <c r="P66" s="370">
        <f t="shared" si="4"/>
        <v>0.88965063908070108</v>
      </c>
      <c r="Q66" s="334" t="str">
        <f t="shared" si="5"/>
        <v>M-002</v>
      </c>
      <c r="R66" s="371" t="s">
        <v>347</v>
      </c>
      <c r="S66" s="293"/>
      <c r="T66" s="293"/>
      <c r="U66" s="293"/>
      <c r="V66" s="293"/>
      <c r="W66" s="293"/>
      <c r="X66" s="293"/>
      <c r="Y66" s="366"/>
      <c r="Z66" s="366"/>
      <c r="AA66" s="366"/>
      <c r="AB66" s="366"/>
      <c r="AC66" s="366"/>
      <c r="AD66" s="366"/>
      <c r="AE66" s="366"/>
      <c r="AF66" s="366"/>
      <c r="AG66" s="366"/>
      <c r="AH66" s="366"/>
      <c r="AI66" s="366"/>
      <c r="AJ66" s="366"/>
      <c r="AK66" s="366"/>
      <c r="AQ66" s="366"/>
      <c r="AR66" s="366"/>
      <c r="AS66" s="366"/>
      <c r="AT66" s="366"/>
      <c r="AU66" s="366"/>
      <c r="AV66" s="366"/>
      <c r="AW66" s="366"/>
      <c r="AX66" s="366"/>
    </row>
    <row r="67" spans="2:50" ht="30" customHeight="1" thickBot="1" x14ac:dyDescent="0.25">
      <c r="B67" s="372" t="s">
        <v>351</v>
      </c>
      <c r="C67" s="343" t="s">
        <v>259</v>
      </c>
      <c r="D67" s="344" t="s">
        <v>236</v>
      </c>
      <c r="E67" s="344" t="s">
        <v>352</v>
      </c>
      <c r="F67" s="344">
        <v>11119467</v>
      </c>
      <c r="G67" s="344">
        <v>10</v>
      </c>
      <c r="H67" s="344">
        <v>1257</v>
      </c>
      <c r="I67" s="345">
        <v>42692</v>
      </c>
      <c r="J67" s="344">
        <v>10000</v>
      </c>
      <c r="K67" s="373"/>
      <c r="L67" s="373"/>
      <c r="M67" s="344">
        <v>8</v>
      </c>
      <c r="N67" s="347">
        <f t="shared" si="1"/>
        <v>10000.008</v>
      </c>
      <c r="O67" s="344">
        <v>16</v>
      </c>
      <c r="P67" s="323">
        <f>(0.34848*((750.712+752.294)/2)-0.009024*((52.2+56.3)/2)*EXP(0.0612*((20.3+20.4)/2)))/(273.15+((20.3+20.4)/2))</f>
        <v>0.88648336980110287</v>
      </c>
      <c r="Q67" s="344" t="s">
        <v>260</v>
      </c>
      <c r="R67" s="349" t="s">
        <v>347</v>
      </c>
      <c r="S67" s="293"/>
      <c r="T67" s="293"/>
      <c r="U67" s="293"/>
      <c r="V67" s="293"/>
      <c r="W67" s="293"/>
      <c r="X67" s="293"/>
      <c r="Y67" s="366"/>
      <c r="Z67" s="366"/>
      <c r="AA67" s="366"/>
      <c r="AB67" s="366"/>
      <c r="AC67" s="366"/>
      <c r="AD67" s="366"/>
      <c r="AE67" s="366"/>
      <c r="AF67" s="366"/>
      <c r="AG67" s="366"/>
      <c r="AH67" s="366"/>
      <c r="AI67" s="366"/>
      <c r="AJ67" s="366"/>
      <c r="AK67" s="366"/>
      <c r="AQ67" s="366"/>
      <c r="AR67" s="366"/>
      <c r="AS67" s="366"/>
      <c r="AT67" s="366"/>
      <c r="AU67" s="366"/>
      <c r="AV67" s="366"/>
      <c r="AW67" s="366"/>
      <c r="AX67" s="366"/>
    </row>
    <row r="68" spans="2:50" ht="30" customHeight="1" thickBot="1" x14ac:dyDescent="0.25">
      <c r="B68" s="372" t="s">
        <v>351</v>
      </c>
      <c r="C68" s="354" t="s">
        <v>261</v>
      </c>
      <c r="D68" s="355" t="s">
        <v>236</v>
      </c>
      <c r="E68" s="355" t="s">
        <v>352</v>
      </c>
      <c r="F68" s="355">
        <v>11119468</v>
      </c>
      <c r="G68" s="355">
        <v>20</v>
      </c>
      <c r="H68" s="355">
        <v>1258</v>
      </c>
      <c r="I68" s="356">
        <v>42695</v>
      </c>
      <c r="J68" s="355">
        <v>20000</v>
      </c>
      <c r="K68" s="357"/>
      <c r="L68" s="357"/>
      <c r="M68" s="355">
        <v>0</v>
      </c>
      <c r="N68" s="374">
        <f t="shared" si="1"/>
        <v>20000</v>
      </c>
      <c r="O68" s="355">
        <v>30</v>
      </c>
      <c r="P68" s="375">
        <f>(0.34848*((751.3+751.5)/2)-0.009024*((54.1+55.5)/2)*EXP(0.0612*((19.7+20.3)/2)))/(273.15+((19.7+20.3)/2))</f>
        <v>0.88748470987269767</v>
      </c>
      <c r="Q68" s="355" t="s">
        <v>262</v>
      </c>
      <c r="R68" s="376" t="s">
        <v>347</v>
      </c>
      <c r="S68" s="293"/>
      <c r="T68" s="293"/>
      <c r="U68" s="293"/>
      <c r="V68" s="293"/>
      <c r="W68" s="293"/>
      <c r="X68" s="293"/>
      <c r="Y68" s="366"/>
      <c r="Z68" s="366"/>
      <c r="AA68" s="366"/>
      <c r="AB68" s="366"/>
      <c r="AC68" s="366"/>
      <c r="AD68" s="366"/>
      <c r="AE68" s="366"/>
      <c r="AF68" s="366"/>
      <c r="AG68" s="366"/>
      <c r="AH68" s="366"/>
      <c r="AI68" s="366"/>
      <c r="AJ68" s="366"/>
      <c r="AK68" s="366"/>
      <c r="AQ68" s="366"/>
      <c r="AR68" s="366"/>
      <c r="AS68" s="366"/>
      <c r="AT68" s="366"/>
      <c r="AU68" s="366"/>
      <c r="AV68" s="366"/>
      <c r="AW68" s="366"/>
      <c r="AX68" s="366"/>
    </row>
    <row r="69" spans="2:50" ht="30" customHeight="1" x14ac:dyDescent="0.2">
      <c r="B69" s="523" t="s">
        <v>350</v>
      </c>
      <c r="C69" s="318" t="s">
        <v>263</v>
      </c>
      <c r="D69" s="319" t="s">
        <v>236</v>
      </c>
      <c r="E69" s="319" t="s">
        <v>264</v>
      </c>
      <c r="F69" s="319" t="s">
        <v>353</v>
      </c>
      <c r="G69" s="319" t="s">
        <v>266</v>
      </c>
      <c r="H69" s="319" t="s">
        <v>267</v>
      </c>
      <c r="I69" s="320">
        <v>42683</v>
      </c>
      <c r="J69" s="319">
        <v>1</v>
      </c>
      <c r="K69" s="361"/>
      <c r="L69" s="361"/>
      <c r="M69" s="321">
        <v>0.04</v>
      </c>
      <c r="N69" s="362">
        <f t="shared" si="1"/>
        <v>1.00004</v>
      </c>
      <c r="O69" s="319">
        <v>3.3000000000000002E-2</v>
      </c>
      <c r="P69" s="377">
        <v>0.88229999999999997</v>
      </c>
      <c r="Q69" s="319" t="s">
        <v>268</v>
      </c>
      <c r="R69" s="324" t="s">
        <v>346</v>
      </c>
      <c r="S69" s="293"/>
      <c r="T69" s="293"/>
      <c r="U69" s="293"/>
      <c r="V69" s="293"/>
      <c r="W69" s="293"/>
      <c r="X69" s="293"/>
      <c r="Y69" s="366"/>
      <c r="Z69" s="366"/>
      <c r="AA69" s="366"/>
      <c r="AB69" s="366"/>
      <c r="AC69" s="366"/>
      <c r="AD69" s="366"/>
      <c r="AE69" s="366"/>
      <c r="AF69" s="366"/>
      <c r="AG69" s="366"/>
      <c r="AH69" s="366"/>
      <c r="AI69" s="366"/>
      <c r="AJ69" s="366"/>
      <c r="AK69" s="366"/>
      <c r="AL69" s="366"/>
      <c r="AM69" s="366"/>
      <c r="AN69" s="366"/>
      <c r="AO69" s="366"/>
      <c r="AP69" s="366"/>
      <c r="AQ69" s="366"/>
      <c r="AR69" s="366"/>
      <c r="AS69" s="366"/>
      <c r="AT69" s="366"/>
      <c r="AU69" s="366"/>
      <c r="AV69" s="366"/>
      <c r="AW69" s="366"/>
      <c r="AX69" s="366"/>
    </row>
    <row r="70" spans="2:50" ht="30" customHeight="1" x14ac:dyDescent="0.2">
      <c r="B70" s="524"/>
      <c r="C70" s="325" t="s">
        <v>269</v>
      </c>
      <c r="D70" s="326" t="s">
        <v>236</v>
      </c>
      <c r="E70" s="326" t="s">
        <v>264</v>
      </c>
      <c r="F70" s="319" t="s">
        <v>353</v>
      </c>
      <c r="G70" s="326" t="s">
        <v>266</v>
      </c>
      <c r="H70" s="326" t="s">
        <v>267</v>
      </c>
      <c r="I70" s="320">
        <v>42683</v>
      </c>
      <c r="J70" s="326">
        <v>2</v>
      </c>
      <c r="K70" s="353"/>
      <c r="L70" s="353"/>
      <c r="M70" s="352">
        <v>0.04</v>
      </c>
      <c r="N70" s="328">
        <f t="shared" si="1"/>
        <v>2.0000399999999998</v>
      </c>
      <c r="O70" s="352">
        <v>0.04</v>
      </c>
      <c r="P70" s="378">
        <v>0.88200000000000001</v>
      </c>
      <c r="Q70" s="326" t="str">
        <f>Q69</f>
        <v>M-016</v>
      </c>
      <c r="R70" s="324" t="s">
        <v>346</v>
      </c>
      <c r="S70" s="293"/>
      <c r="T70" s="293"/>
      <c r="U70" s="293"/>
      <c r="V70" s="293"/>
      <c r="W70" s="293"/>
      <c r="X70" s="293"/>
      <c r="Y70" s="366"/>
      <c r="Z70" s="366"/>
      <c r="AA70" s="366"/>
      <c r="AB70" s="366"/>
      <c r="AC70" s="366"/>
      <c r="AD70" s="366"/>
      <c r="AE70" s="366"/>
      <c r="AF70" s="366"/>
      <c r="AG70" s="366"/>
      <c r="AH70" s="366"/>
      <c r="AI70" s="366"/>
      <c r="AJ70" s="366"/>
      <c r="AK70" s="366"/>
      <c r="AL70" s="366"/>
      <c r="AM70" s="366"/>
      <c r="AN70" s="366"/>
      <c r="AO70" s="366"/>
      <c r="AP70" s="366"/>
      <c r="AQ70" s="366"/>
      <c r="AR70" s="366"/>
      <c r="AS70" s="366"/>
      <c r="AT70" s="366"/>
      <c r="AU70" s="366"/>
      <c r="AV70" s="366"/>
      <c r="AW70" s="366"/>
      <c r="AX70" s="366"/>
    </row>
    <row r="71" spans="2:50" ht="30" customHeight="1" x14ac:dyDescent="0.2">
      <c r="B71" s="524"/>
      <c r="C71" s="325" t="s">
        <v>270</v>
      </c>
      <c r="D71" s="326" t="s">
        <v>236</v>
      </c>
      <c r="E71" s="326" t="s">
        <v>264</v>
      </c>
      <c r="F71" s="319" t="s">
        <v>353</v>
      </c>
      <c r="G71" s="326" t="s">
        <v>271</v>
      </c>
      <c r="H71" s="326" t="s">
        <v>267</v>
      </c>
      <c r="I71" s="320">
        <v>42683</v>
      </c>
      <c r="J71" s="326">
        <v>2</v>
      </c>
      <c r="K71" s="353"/>
      <c r="L71" s="353"/>
      <c r="M71" s="326">
        <v>5.3999999999999999E-2</v>
      </c>
      <c r="N71" s="350">
        <f t="shared" si="1"/>
        <v>2.000054</v>
      </c>
      <c r="O71" s="352">
        <v>0.04</v>
      </c>
      <c r="P71" s="330">
        <v>0.88190000000000002</v>
      </c>
      <c r="Q71" s="326" t="str">
        <f t="shared" ref="Q71:Q84" si="7">Q70</f>
        <v>M-016</v>
      </c>
      <c r="R71" s="324" t="s">
        <v>346</v>
      </c>
      <c r="U71" s="293"/>
      <c r="V71" s="293"/>
      <c r="W71" s="293"/>
      <c r="X71" s="293"/>
      <c r="Y71" s="366"/>
      <c r="Z71" s="366"/>
      <c r="AA71" s="366"/>
      <c r="AB71" s="366"/>
      <c r="AC71" s="366"/>
      <c r="AD71" s="366"/>
      <c r="AE71" s="366"/>
      <c r="AF71" s="366"/>
      <c r="AG71" s="366"/>
      <c r="AH71" s="366"/>
      <c r="AI71" s="366"/>
      <c r="AJ71" s="366"/>
      <c r="AK71" s="366"/>
      <c r="AL71" s="366"/>
      <c r="AM71" s="366"/>
      <c r="AN71" s="366"/>
      <c r="AO71" s="366"/>
      <c r="AP71" s="366"/>
      <c r="AQ71" s="366"/>
      <c r="AR71" s="366"/>
      <c r="AS71" s="366"/>
      <c r="AT71" s="366"/>
      <c r="AU71" s="366"/>
      <c r="AV71" s="366"/>
      <c r="AW71" s="366"/>
      <c r="AX71" s="366"/>
    </row>
    <row r="72" spans="2:50" ht="30" customHeight="1" x14ac:dyDescent="0.2">
      <c r="B72" s="524"/>
      <c r="C72" s="325" t="s">
        <v>272</v>
      </c>
      <c r="D72" s="326" t="s">
        <v>236</v>
      </c>
      <c r="E72" s="326" t="s">
        <v>264</v>
      </c>
      <c r="F72" s="319" t="s">
        <v>353</v>
      </c>
      <c r="G72" s="326" t="s">
        <v>266</v>
      </c>
      <c r="H72" s="326" t="s">
        <v>267</v>
      </c>
      <c r="I72" s="320">
        <v>42683</v>
      </c>
      <c r="J72" s="326">
        <v>5</v>
      </c>
      <c r="K72" s="353"/>
      <c r="L72" s="353"/>
      <c r="M72" s="326">
        <v>8.7999999999999995E-2</v>
      </c>
      <c r="N72" s="350">
        <f t="shared" si="1"/>
        <v>5.0000879999999999</v>
      </c>
      <c r="O72" s="326">
        <v>5.2999999999999999E-2</v>
      </c>
      <c r="P72" s="378">
        <v>0.88200000000000001</v>
      </c>
      <c r="Q72" s="326" t="str">
        <f t="shared" si="7"/>
        <v>M-016</v>
      </c>
      <c r="R72" s="324" t="s">
        <v>346</v>
      </c>
      <c r="U72" s="293"/>
      <c r="V72" s="293"/>
      <c r="W72" s="293"/>
      <c r="X72" s="293"/>
      <c r="Y72" s="366"/>
      <c r="Z72" s="366"/>
      <c r="AA72" s="366"/>
      <c r="AB72" s="366"/>
      <c r="AC72" s="366"/>
      <c r="AD72" s="366"/>
      <c r="AE72" s="366"/>
      <c r="AF72" s="366"/>
      <c r="AG72" s="366"/>
      <c r="AH72" s="366"/>
      <c r="AI72" s="366"/>
      <c r="AJ72" s="366"/>
      <c r="AK72" s="366"/>
      <c r="AL72" s="366"/>
      <c r="AM72" s="366"/>
      <c r="AN72" s="366"/>
      <c r="AO72" s="366"/>
      <c r="AP72" s="366"/>
      <c r="AQ72" s="366"/>
      <c r="AR72" s="366"/>
      <c r="AS72" s="366"/>
      <c r="AT72" s="366"/>
      <c r="AU72" s="366"/>
      <c r="AV72" s="366"/>
      <c r="AW72" s="366"/>
      <c r="AX72" s="366"/>
    </row>
    <row r="73" spans="2:50" ht="30" customHeight="1" x14ac:dyDescent="0.2">
      <c r="B73" s="524"/>
      <c r="C73" s="325" t="s">
        <v>273</v>
      </c>
      <c r="D73" s="326" t="s">
        <v>236</v>
      </c>
      <c r="E73" s="326" t="s">
        <v>264</v>
      </c>
      <c r="F73" s="319" t="s">
        <v>353</v>
      </c>
      <c r="G73" s="326" t="s">
        <v>266</v>
      </c>
      <c r="H73" s="326" t="s">
        <v>267</v>
      </c>
      <c r="I73" s="320">
        <v>42683</v>
      </c>
      <c r="J73" s="326">
        <v>10</v>
      </c>
      <c r="K73" s="353"/>
      <c r="L73" s="353"/>
      <c r="M73" s="326">
        <v>8.7999999999999995E-2</v>
      </c>
      <c r="N73" s="350">
        <f t="shared" si="1"/>
        <v>10.000088</v>
      </c>
      <c r="O73" s="326">
        <v>6.7000000000000004E-2</v>
      </c>
      <c r="P73" s="330">
        <v>0.8821</v>
      </c>
      <c r="Q73" s="326" t="str">
        <f t="shared" si="7"/>
        <v>M-016</v>
      </c>
      <c r="R73" s="324" t="s">
        <v>346</v>
      </c>
      <c r="U73" s="293"/>
      <c r="V73" s="293"/>
      <c r="W73" s="293"/>
      <c r="X73" s="293"/>
      <c r="Y73" s="293"/>
      <c r="Z73" s="293"/>
      <c r="AA73" s="366"/>
      <c r="AB73" s="366"/>
      <c r="AC73" s="366"/>
      <c r="AD73" s="366"/>
      <c r="AE73" s="366"/>
      <c r="AF73" s="366"/>
      <c r="AG73" s="366"/>
      <c r="AH73" s="366"/>
      <c r="AI73" s="366"/>
      <c r="AJ73" s="366"/>
      <c r="AK73" s="366"/>
      <c r="AL73" s="366"/>
      <c r="AM73" s="366"/>
      <c r="AN73" s="366"/>
      <c r="AO73" s="366"/>
      <c r="AP73" s="366"/>
      <c r="AQ73" s="366"/>
      <c r="AR73" s="366"/>
      <c r="AS73" s="366"/>
      <c r="AT73" s="366"/>
      <c r="AU73" s="366"/>
      <c r="AV73" s="366"/>
      <c r="AW73" s="366"/>
      <c r="AX73" s="366"/>
    </row>
    <row r="74" spans="2:50" ht="30" customHeight="1" x14ac:dyDescent="0.2">
      <c r="B74" s="524"/>
      <c r="C74" s="325" t="s">
        <v>274</v>
      </c>
      <c r="D74" s="326" t="s">
        <v>236</v>
      </c>
      <c r="E74" s="326" t="s">
        <v>264</v>
      </c>
      <c r="F74" s="319" t="s">
        <v>353</v>
      </c>
      <c r="G74" s="326" t="s">
        <v>266</v>
      </c>
      <c r="H74" s="326" t="s">
        <v>267</v>
      </c>
      <c r="I74" s="320">
        <v>42683</v>
      </c>
      <c r="J74" s="326">
        <v>20</v>
      </c>
      <c r="K74" s="353"/>
      <c r="L74" s="353"/>
      <c r="M74" s="326">
        <v>9.2999999999999999E-2</v>
      </c>
      <c r="N74" s="350">
        <f t="shared" si="1"/>
        <v>20.000093</v>
      </c>
      <c r="O74" s="326">
        <v>8.3000000000000004E-2</v>
      </c>
      <c r="P74" s="330">
        <v>0.88229999999999997</v>
      </c>
      <c r="Q74" s="326" t="str">
        <f t="shared" si="7"/>
        <v>M-016</v>
      </c>
      <c r="R74" s="324" t="s">
        <v>346</v>
      </c>
      <c r="U74" s="293"/>
      <c r="V74" s="293"/>
      <c r="W74" s="293"/>
      <c r="X74" s="293"/>
      <c r="Y74" s="293"/>
      <c r="Z74" s="293"/>
      <c r="AA74" s="366"/>
      <c r="AB74" s="366"/>
      <c r="AC74" s="366"/>
      <c r="AD74" s="366"/>
      <c r="AE74" s="366"/>
      <c r="AF74" s="366"/>
      <c r="AG74" s="366"/>
      <c r="AH74" s="366"/>
      <c r="AI74" s="366"/>
      <c r="AJ74" s="366"/>
      <c r="AK74" s="366"/>
      <c r="AL74" s="366"/>
      <c r="AM74" s="366"/>
      <c r="AN74" s="366"/>
      <c r="AO74" s="366"/>
      <c r="AP74" s="366"/>
      <c r="AQ74" s="366"/>
      <c r="AR74" s="366"/>
      <c r="AS74" s="366"/>
      <c r="AT74" s="366"/>
      <c r="AU74" s="366"/>
      <c r="AV74" s="366"/>
      <c r="AW74" s="366"/>
      <c r="AX74" s="366"/>
    </row>
    <row r="75" spans="2:50" ht="30" customHeight="1" x14ac:dyDescent="0.2">
      <c r="B75" s="524"/>
      <c r="C75" s="325" t="s">
        <v>275</v>
      </c>
      <c r="D75" s="326" t="s">
        <v>236</v>
      </c>
      <c r="E75" s="326" t="s">
        <v>264</v>
      </c>
      <c r="F75" s="319" t="s">
        <v>353</v>
      </c>
      <c r="G75" s="326" t="s">
        <v>271</v>
      </c>
      <c r="H75" s="326" t="s">
        <v>267</v>
      </c>
      <c r="I75" s="320">
        <v>42683</v>
      </c>
      <c r="J75" s="326">
        <v>20</v>
      </c>
      <c r="K75" s="353"/>
      <c r="L75" s="353"/>
      <c r="M75" s="326">
        <v>9.0999999999999998E-2</v>
      </c>
      <c r="N75" s="350">
        <f t="shared" si="1"/>
        <v>20.000091000000001</v>
      </c>
      <c r="O75" s="326">
        <v>8.3000000000000004E-2</v>
      </c>
      <c r="P75" s="330">
        <v>0.88239999999999996</v>
      </c>
      <c r="Q75" s="326" t="str">
        <f t="shared" si="7"/>
        <v>M-016</v>
      </c>
      <c r="R75" s="324" t="s">
        <v>346</v>
      </c>
      <c r="U75" s="366"/>
      <c r="V75" s="366"/>
      <c r="W75" s="366"/>
      <c r="X75" s="366"/>
      <c r="Y75" s="366"/>
      <c r="Z75" s="366"/>
      <c r="AA75" s="366"/>
      <c r="AB75" s="366"/>
      <c r="AC75" s="366"/>
      <c r="AD75" s="366"/>
      <c r="AE75" s="366"/>
      <c r="AF75" s="366"/>
      <c r="AG75" s="366"/>
      <c r="AH75" s="366"/>
      <c r="AI75" s="366"/>
      <c r="AJ75" s="366"/>
      <c r="AK75" s="366"/>
      <c r="AL75" s="366"/>
      <c r="AM75" s="366"/>
      <c r="AN75" s="366"/>
      <c r="AO75" s="366"/>
      <c r="AP75" s="366"/>
      <c r="AQ75" s="366"/>
      <c r="AR75" s="366"/>
      <c r="AS75" s="366"/>
      <c r="AT75" s="366"/>
      <c r="AU75" s="366"/>
      <c r="AV75" s="366"/>
      <c r="AW75" s="366"/>
      <c r="AX75" s="366"/>
    </row>
    <row r="76" spans="2:50" ht="30" customHeight="1" x14ac:dyDescent="0.2">
      <c r="B76" s="524"/>
      <c r="C76" s="325" t="s">
        <v>276</v>
      </c>
      <c r="D76" s="326" t="s">
        <v>236</v>
      </c>
      <c r="E76" s="326" t="s">
        <v>264</v>
      </c>
      <c r="F76" s="319" t="s">
        <v>353</v>
      </c>
      <c r="G76" s="326" t="s">
        <v>266</v>
      </c>
      <c r="H76" s="326" t="s">
        <v>267</v>
      </c>
      <c r="I76" s="320">
        <v>42683</v>
      </c>
      <c r="J76" s="326">
        <v>50</v>
      </c>
      <c r="K76" s="353"/>
      <c r="L76" s="353"/>
      <c r="M76" s="326">
        <v>0.08</v>
      </c>
      <c r="N76" s="328">
        <f t="shared" si="1"/>
        <v>50.000079999999997</v>
      </c>
      <c r="O76" s="329">
        <v>0.1</v>
      </c>
      <c r="P76" s="330">
        <v>0.88239999999999996</v>
      </c>
      <c r="Q76" s="326" t="str">
        <f t="shared" si="7"/>
        <v>M-016</v>
      </c>
      <c r="R76" s="324" t="s">
        <v>346</v>
      </c>
      <c r="U76" s="366"/>
      <c r="V76" s="366"/>
      <c r="W76" s="366"/>
      <c r="X76" s="366"/>
      <c r="Y76" s="366"/>
      <c r="Z76" s="366"/>
      <c r="AA76" s="366"/>
      <c r="AB76" s="366"/>
      <c r="AC76" s="366"/>
      <c r="AD76" s="366"/>
      <c r="AE76" s="366"/>
      <c r="AF76" s="366"/>
      <c r="AG76" s="366"/>
      <c r="AH76" s="366"/>
      <c r="AI76" s="366"/>
      <c r="AJ76" s="366"/>
      <c r="AK76" s="366"/>
      <c r="AL76" s="366"/>
      <c r="AM76" s="366"/>
      <c r="AN76" s="366"/>
      <c r="AO76" s="366"/>
      <c r="AP76" s="366"/>
      <c r="AQ76" s="366"/>
      <c r="AR76" s="366"/>
      <c r="AS76" s="366"/>
      <c r="AT76" s="366"/>
      <c r="AU76" s="366"/>
      <c r="AV76" s="366"/>
      <c r="AW76" s="366"/>
      <c r="AX76" s="366"/>
    </row>
    <row r="77" spans="2:50" ht="30" customHeight="1" x14ac:dyDescent="0.2">
      <c r="B77" s="524"/>
      <c r="C77" s="325" t="s">
        <v>277</v>
      </c>
      <c r="D77" s="326" t="s">
        <v>236</v>
      </c>
      <c r="E77" s="326" t="s">
        <v>264</v>
      </c>
      <c r="F77" s="319" t="s">
        <v>353</v>
      </c>
      <c r="G77" s="326" t="s">
        <v>266</v>
      </c>
      <c r="H77" s="326" t="s">
        <v>267</v>
      </c>
      <c r="I77" s="320">
        <v>42683</v>
      </c>
      <c r="J77" s="326">
        <v>100</v>
      </c>
      <c r="K77" s="353"/>
      <c r="L77" s="353"/>
      <c r="M77" s="326">
        <v>0.08</v>
      </c>
      <c r="N77" s="328">
        <f t="shared" si="1"/>
        <v>100.00008</v>
      </c>
      <c r="O77" s="326">
        <v>0.17</v>
      </c>
      <c r="P77" s="330">
        <v>0.88539999999999996</v>
      </c>
      <c r="Q77" s="326" t="str">
        <f t="shared" si="7"/>
        <v>M-016</v>
      </c>
      <c r="R77" s="324" t="s">
        <v>346</v>
      </c>
      <c r="U77" s="293"/>
      <c r="V77" s="293"/>
      <c r="W77" s="293"/>
      <c r="X77" s="293"/>
      <c r="Y77" s="293"/>
      <c r="Z77" s="293"/>
      <c r="AA77" s="366"/>
      <c r="AB77" s="366"/>
      <c r="AC77" s="366"/>
      <c r="AD77" s="366"/>
      <c r="AE77" s="366"/>
      <c r="AF77" s="366"/>
      <c r="AG77" s="366"/>
      <c r="AH77" s="366"/>
      <c r="AI77" s="366"/>
      <c r="AJ77" s="366"/>
      <c r="AK77" s="366"/>
      <c r="AV77" s="366"/>
      <c r="AW77" s="366"/>
      <c r="AX77" s="366"/>
    </row>
    <row r="78" spans="2:50" ht="30" customHeight="1" x14ac:dyDescent="0.2">
      <c r="B78" s="524"/>
      <c r="C78" s="325" t="s">
        <v>278</v>
      </c>
      <c r="D78" s="326" t="s">
        <v>236</v>
      </c>
      <c r="E78" s="326" t="s">
        <v>264</v>
      </c>
      <c r="F78" s="319" t="s">
        <v>353</v>
      </c>
      <c r="G78" s="326" t="s">
        <v>266</v>
      </c>
      <c r="H78" s="326" t="s">
        <v>267</v>
      </c>
      <c r="I78" s="320">
        <v>42683</v>
      </c>
      <c r="J78" s="326">
        <v>200</v>
      </c>
      <c r="K78" s="353"/>
      <c r="L78" s="353"/>
      <c r="M78" s="326">
        <v>0.28999999999999998</v>
      </c>
      <c r="N78" s="328">
        <f t="shared" si="1"/>
        <v>200.00029000000001</v>
      </c>
      <c r="O78" s="326">
        <v>0.33</v>
      </c>
      <c r="P78" s="330">
        <v>0.88519999999999999</v>
      </c>
      <c r="Q78" s="326" t="str">
        <f t="shared" si="7"/>
        <v>M-016</v>
      </c>
      <c r="R78" s="324" t="s">
        <v>346</v>
      </c>
      <c r="U78" s="293"/>
      <c r="V78" s="293"/>
      <c r="W78" s="293"/>
      <c r="X78" s="293"/>
      <c r="Y78" s="293"/>
      <c r="Z78" s="293"/>
      <c r="AA78" s="366"/>
      <c r="AB78" s="366"/>
      <c r="AC78" s="366"/>
      <c r="AD78" s="366"/>
      <c r="AE78" s="366"/>
      <c r="AF78" s="366"/>
      <c r="AG78" s="366"/>
      <c r="AH78" s="366"/>
      <c r="AI78" s="366"/>
      <c r="AJ78" s="366"/>
      <c r="AK78" s="366"/>
      <c r="AV78" s="366"/>
      <c r="AW78" s="366"/>
      <c r="AX78" s="366"/>
    </row>
    <row r="79" spans="2:50" ht="30" customHeight="1" x14ac:dyDescent="0.2">
      <c r="B79" s="524"/>
      <c r="C79" s="325" t="s">
        <v>279</v>
      </c>
      <c r="D79" s="326" t="s">
        <v>236</v>
      </c>
      <c r="E79" s="326" t="s">
        <v>264</v>
      </c>
      <c r="F79" s="319" t="s">
        <v>353</v>
      </c>
      <c r="G79" s="326" t="s">
        <v>271</v>
      </c>
      <c r="H79" s="326" t="s">
        <v>267</v>
      </c>
      <c r="I79" s="320">
        <v>42683</v>
      </c>
      <c r="J79" s="326">
        <v>200</v>
      </c>
      <c r="K79" s="353"/>
      <c r="L79" s="353"/>
      <c r="M79" s="326">
        <v>0.33</v>
      </c>
      <c r="N79" s="328">
        <f t="shared" si="1"/>
        <v>200.00032999999999</v>
      </c>
      <c r="O79" s="326">
        <v>0.33</v>
      </c>
      <c r="P79" s="378">
        <v>0.88500000000000001</v>
      </c>
      <c r="Q79" s="326" t="str">
        <f t="shared" si="7"/>
        <v>M-016</v>
      </c>
      <c r="R79" s="324" t="s">
        <v>346</v>
      </c>
      <c r="U79" s="293"/>
      <c r="V79" s="293"/>
      <c r="W79" s="293"/>
      <c r="X79" s="293"/>
      <c r="Y79" s="293"/>
      <c r="Z79" s="293"/>
      <c r="AA79" s="366"/>
      <c r="AB79" s="366"/>
      <c r="AC79" s="366"/>
      <c r="AD79" s="366"/>
      <c r="AE79" s="366"/>
      <c r="AF79" s="366"/>
      <c r="AG79" s="366"/>
      <c r="AH79" s="366"/>
      <c r="AI79" s="366"/>
      <c r="AJ79" s="366"/>
      <c r="AK79" s="366"/>
      <c r="AV79" s="366"/>
      <c r="AW79" s="366"/>
      <c r="AX79" s="366"/>
    </row>
    <row r="80" spans="2:50" ht="30" customHeight="1" x14ac:dyDescent="0.2">
      <c r="B80" s="524"/>
      <c r="C80" s="325" t="s">
        <v>280</v>
      </c>
      <c r="D80" s="326" t="s">
        <v>236</v>
      </c>
      <c r="E80" s="326" t="s">
        <v>264</v>
      </c>
      <c r="F80" s="319" t="s">
        <v>353</v>
      </c>
      <c r="G80" s="326" t="s">
        <v>266</v>
      </c>
      <c r="H80" s="326" t="s">
        <v>267</v>
      </c>
      <c r="I80" s="320">
        <v>42683</v>
      </c>
      <c r="J80" s="326">
        <v>500</v>
      </c>
      <c r="K80" s="353"/>
      <c r="L80" s="353"/>
      <c r="M80" s="326">
        <v>0.94</v>
      </c>
      <c r="N80" s="328">
        <f t="shared" si="1"/>
        <v>500.00094000000001</v>
      </c>
      <c r="O80" s="326">
        <v>0.83</v>
      </c>
      <c r="P80" s="330">
        <v>0.88539999999999996</v>
      </c>
      <c r="Q80" s="326" t="str">
        <f t="shared" si="7"/>
        <v>M-016</v>
      </c>
      <c r="R80" s="324" t="s">
        <v>346</v>
      </c>
      <c r="S80" s="293"/>
      <c r="T80" s="293"/>
      <c r="U80" s="293"/>
      <c r="V80" s="293"/>
      <c r="W80" s="293"/>
      <c r="X80" s="293"/>
      <c r="Y80" s="293"/>
      <c r="Z80" s="293"/>
      <c r="AA80" s="366"/>
      <c r="AB80" s="366"/>
      <c r="AC80" s="366"/>
      <c r="AD80" s="366"/>
      <c r="AE80" s="366"/>
      <c r="AF80" s="366"/>
      <c r="AG80" s="366"/>
      <c r="AH80" s="366"/>
      <c r="AI80" s="366"/>
      <c r="AJ80" s="366"/>
      <c r="AK80" s="366"/>
      <c r="AV80" s="366"/>
      <c r="AW80" s="366"/>
      <c r="AX80" s="366"/>
    </row>
    <row r="81" spans="2:50" ht="30" customHeight="1" x14ac:dyDescent="0.2">
      <c r="B81" s="524"/>
      <c r="C81" s="325" t="s">
        <v>281</v>
      </c>
      <c r="D81" s="326" t="s">
        <v>236</v>
      </c>
      <c r="E81" s="326" t="s">
        <v>264</v>
      </c>
      <c r="F81" s="319" t="s">
        <v>353</v>
      </c>
      <c r="G81" s="326" t="s">
        <v>266</v>
      </c>
      <c r="H81" s="326" t="s">
        <v>267</v>
      </c>
      <c r="I81" s="320">
        <v>42683</v>
      </c>
      <c r="J81" s="326">
        <v>1000</v>
      </c>
      <c r="K81" s="353"/>
      <c r="L81" s="353"/>
      <c r="M81" s="332">
        <v>0</v>
      </c>
      <c r="N81" s="331">
        <f t="shared" si="1"/>
        <v>1000</v>
      </c>
      <c r="O81" s="326">
        <v>1.7</v>
      </c>
      <c r="P81" s="330">
        <v>0.88449999999999995</v>
      </c>
      <c r="Q81" s="326" t="str">
        <f t="shared" si="7"/>
        <v>M-016</v>
      </c>
      <c r="R81" s="324" t="s">
        <v>346</v>
      </c>
      <c r="S81" s="293"/>
      <c r="T81" s="293"/>
      <c r="U81" s="293"/>
      <c r="V81" s="293"/>
      <c r="W81" s="293"/>
      <c r="X81" s="293"/>
      <c r="Y81" s="293"/>
      <c r="Z81" s="293"/>
      <c r="AA81" s="366"/>
      <c r="AB81" s="366"/>
      <c r="AC81" s="366"/>
      <c r="AD81" s="366"/>
      <c r="AE81" s="366"/>
      <c r="AF81" s="366"/>
      <c r="AG81" s="366"/>
      <c r="AH81" s="366"/>
      <c r="AI81" s="366"/>
      <c r="AJ81" s="366"/>
      <c r="AK81" s="366"/>
      <c r="AV81" s="366"/>
      <c r="AW81" s="366"/>
      <c r="AX81" s="366"/>
    </row>
    <row r="82" spans="2:50" ht="30" customHeight="1" x14ac:dyDescent="0.2">
      <c r="B82" s="524"/>
      <c r="C82" s="325" t="s">
        <v>282</v>
      </c>
      <c r="D82" s="326" t="s">
        <v>236</v>
      </c>
      <c r="E82" s="326" t="s">
        <v>264</v>
      </c>
      <c r="F82" s="319" t="s">
        <v>353</v>
      </c>
      <c r="G82" s="326" t="s">
        <v>266</v>
      </c>
      <c r="H82" s="326" t="s">
        <v>267</v>
      </c>
      <c r="I82" s="320">
        <v>42683</v>
      </c>
      <c r="J82" s="326">
        <v>2000</v>
      </c>
      <c r="K82" s="353"/>
      <c r="L82" s="353"/>
      <c r="M82" s="332">
        <v>3</v>
      </c>
      <c r="N82" s="331">
        <f t="shared" si="1"/>
        <v>2000.0029999999999</v>
      </c>
      <c r="O82" s="326">
        <v>3.3</v>
      </c>
      <c r="P82" s="330">
        <v>0.88429999999999997</v>
      </c>
      <c r="Q82" s="326" t="str">
        <f t="shared" si="7"/>
        <v>M-016</v>
      </c>
      <c r="R82" s="324" t="s">
        <v>346</v>
      </c>
      <c r="S82" s="293"/>
      <c r="T82" s="293"/>
      <c r="U82" s="293"/>
      <c r="V82" s="293"/>
      <c r="W82" s="293"/>
      <c r="X82" s="293"/>
      <c r="Y82" s="293"/>
      <c r="Z82" s="293"/>
      <c r="AA82" s="366"/>
      <c r="AB82" s="366"/>
      <c r="AC82" s="366"/>
      <c r="AD82" s="366"/>
      <c r="AE82" s="366"/>
      <c r="AF82" s="366"/>
      <c r="AG82" s="366"/>
      <c r="AH82" s="366"/>
      <c r="AI82" s="366"/>
      <c r="AJ82" s="366"/>
      <c r="AK82" s="366"/>
      <c r="AV82" s="366"/>
      <c r="AW82" s="366"/>
      <c r="AX82" s="366"/>
    </row>
    <row r="83" spans="2:50" ht="30" customHeight="1" x14ac:dyDescent="0.2">
      <c r="B83" s="524"/>
      <c r="C83" s="325" t="s">
        <v>283</v>
      </c>
      <c r="D83" s="326" t="s">
        <v>236</v>
      </c>
      <c r="E83" s="326" t="s">
        <v>264</v>
      </c>
      <c r="F83" s="319" t="s">
        <v>353</v>
      </c>
      <c r="G83" s="326" t="s">
        <v>271</v>
      </c>
      <c r="H83" s="326" t="s">
        <v>267</v>
      </c>
      <c r="I83" s="320">
        <v>42683</v>
      </c>
      <c r="J83" s="326">
        <v>2000</v>
      </c>
      <c r="K83" s="353"/>
      <c r="L83" s="353"/>
      <c r="M83" s="326">
        <v>3.9</v>
      </c>
      <c r="N83" s="331">
        <f t="shared" si="1"/>
        <v>2000.0038999999999</v>
      </c>
      <c r="O83" s="326">
        <v>3.3</v>
      </c>
      <c r="P83" s="330">
        <v>0.8841</v>
      </c>
      <c r="Q83" s="326" t="str">
        <f>Q82</f>
        <v>M-016</v>
      </c>
      <c r="R83" s="324" t="s">
        <v>346</v>
      </c>
      <c r="S83" s="293"/>
      <c r="T83" s="293"/>
      <c r="U83" s="293"/>
      <c r="V83" s="366"/>
      <c r="W83" s="366"/>
      <c r="X83" s="366"/>
      <c r="Y83" s="366"/>
      <c r="Z83" s="366"/>
      <c r="AA83" s="366"/>
      <c r="AB83" s="366"/>
      <c r="AC83" s="366"/>
      <c r="AD83" s="366"/>
      <c r="AE83" s="366"/>
      <c r="AF83" s="366"/>
      <c r="AG83" s="366"/>
      <c r="AH83" s="366"/>
      <c r="AI83" s="366"/>
      <c r="AJ83" s="366"/>
      <c r="AK83" s="366"/>
      <c r="AV83" s="366"/>
      <c r="AW83" s="366"/>
      <c r="AX83" s="366"/>
    </row>
    <row r="84" spans="2:50" ht="30" customHeight="1" thickBot="1" x14ac:dyDescent="0.25">
      <c r="B84" s="525"/>
      <c r="C84" s="354" t="s">
        <v>284</v>
      </c>
      <c r="D84" s="355" t="s">
        <v>236</v>
      </c>
      <c r="E84" s="355" t="s">
        <v>264</v>
      </c>
      <c r="F84" s="319" t="s">
        <v>353</v>
      </c>
      <c r="G84" s="355" t="s">
        <v>266</v>
      </c>
      <c r="H84" s="355" t="s">
        <v>267</v>
      </c>
      <c r="I84" s="320">
        <v>42683</v>
      </c>
      <c r="J84" s="355">
        <v>5000</v>
      </c>
      <c r="K84" s="357"/>
      <c r="L84" s="357"/>
      <c r="M84" s="355">
        <v>7.7</v>
      </c>
      <c r="N84" s="358">
        <f t="shared" si="1"/>
        <v>5000.0077000000001</v>
      </c>
      <c r="O84" s="355">
        <v>8.3000000000000007</v>
      </c>
      <c r="P84" s="379">
        <v>0.88370000000000004</v>
      </c>
      <c r="Q84" s="355" t="str">
        <f t="shared" si="7"/>
        <v>M-016</v>
      </c>
      <c r="R84" s="324" t="s">
        <v>346</v>
      </c>
      <c r="U84" s="293"/>
      <c r="V84" s="366"/>
      <c r="W84" s="366"/>
      <c r="X84" s="366"/>
      <c r="Y84" s="366"/>
      <c r="Z84" s="366"/>
      <c r="AA84" s="366"/>
      <c r="AB84" s="366"/>
      <c r="AC84" s="366"/>
      <c r="AD84" s="366"/>
      <c r="AE84" s="366"/>
      <c r="AF84" s="366"/>
      <c r="AG84" s="366"/>
      <c r="AH84" s="366"/>
      <c r="AI84" s="366"/>
      <c r="AJ84" s="366"/>
      <c r="AK84" s="366"/>
      <c r="AV84" s="366"/>
      <c r="AW84" s="366"/>
      <c r="AX84" s="366"/>
    </row>
    <row r="85" spans="2:50" ht="30" customHeight="1" x14ac:dyDescent="0.2">
      <c r="B85" s="380"/>
      <c r="U85" s="293"/>
      <c r="V85" s="366"/>
      <c r="W85" s="366"/>
      <c r="X85" s="366"/>
      <c r="Y85" s="366"/>
      <c r="Z85" s="366"/>
      <c r="AA85" s="366"/>
      <c r="AB85" s="366"/>
      <c r="AC85" s="366"/>
      <c r="AD85" s="366"/>
      <c r="AE85" s="366"/>
      <c r="AF85" s="366"/>
      <c r="AG85" s="366"/>
      <c r="AH85" s="366"/>
      <c r="AI85" s="366"/>
      <c r="AJ85" s="366"/>
      <c r="AK85" s="366"/>
      <c r="AV85" s="366"/>
      <c r="AW85" s="366"/>
      <c r="AX85" s="366"/>
    </row>
    <row r="86" spans="2:50" ht="30" customHeight="1" x14ac:dyDescent="0.2">
      <c r="B86" s="380"/>
      <c r="U86" s="293"/>
      <c r="V86" s="366"/>
      <c r="W86" s="366"/>
      <c r="X86" s="366"/>
      <c r="Y86" s="366"/>
      <c r="Z86" s="366"/>
      <c r="AA86" s="366"/>
      <c r="AB86" s="366"/>
      <c r="AC86" s="366"/>
      <c r="AD86" s="366"/>
      <c r="AE86" s="366"/>
      <c r="AF86" s="366"/>
      <c r="AG86" s="366"/>
      <c r="AH86" s="366"/>
      <c r="AI86" s="366"/>
      <c r="AJ86" s="366"/>
      <c r="AK86" s="366"/>
      <c r="AV86" s="366"/>
      <c r="AW86" s="366"/>
      <c r="AX86" s="366"/>
    </row>
    <row r="87" spans="2:50" ht="30" customHeight="1" thickBot="1" x14ac:dyDescent="0.25">
      <c r="B87" s="380"/>
      <c r="O87" s="293"/>
      <c r="P87" s="293"/>
      <c r="Q87" s="293"/>
      <c r="R87" s="293"/>
      <c r="S87" s="293"/>
      <c r="U87" s="293"/>
      <c r="Z87" s="366"/>
      <c r="AA87" s="366"/>
      <c r="AB87" s="366"/>
      <c r="AC87" s="366"/>
      <c r="AD87" s="366"/>
      <c r="AE87" s="366"/>
      <c r="AF87" s="366"/>
      <c r="AG87" s="366"/>
      <c r="AH87" s="366"/>
      <c r="AI87" s="366"/>
      <c r="AJ87" s="366"/>
      <c r="AK87" s="366"/>
      <c r="AV87" s="366"/>
      <c r="AW87" s="366"/>
      <c r="AX87" s="366"/>
    </row>
    <row r="88" spans="2:50" ht="30" customHeight="1" thickBot="1" x14ac:dyDescent="0.25">
      <c r="B88" s="380"/>
      <c r="C88" s="453" t="s">
        <v>299</v>
      </c>
      <c r="D88" s="454"/>
      <c r="E88" s="454"/>
      <c r="F88" s="454"/>
      <c r="G88" s="454"/>
      <c r="H88" s="454"/>
      <c r="I88" s="454"/>
      <c r="J88" s="454"/>
      <c r="K88" s="454"/>
      <c r="L88" s="455"/>
      <c r="O88" s="479" t="s">
        <v>335</v>
      </c>
      <c r="P88" s="480"/>
      <c r="Q88" s="480"/>
      <c r="R88" s="480"/>
      <c r="S88" s="293"/>
      <c r="U88" s="293"/>
      <c r="Z88" s="366"/>
      <c r="AA88" s="366"/>
      <c r="AB88" s="366"/>
      <c r="AC88" s="366"/>
      <c r="AD88" s="366"/>
      <c r="AE88" s="366"/>
      <c r="AF88" s="366"/>
      <c r="AG88" s="366"/>
      <c r="AH88" s="366"/>
      <c r="AI88" s="366"/>
      <c r="AJ88" s="366"/>
      <c r="AK88" s="366"/>
      <c r="AV88" s="366"/>
      <c r="AW88" s="366"/>
      <c r="AX88" s="366"/>
    </row>
    <row r="89" spans="2:50" ht="30" customHeight="1" thickBot="1" x14ac:dyDescent="0.25">
      <c r="B89" s="380"/>
      <c r="C89" s="456"/>
      <c r="D89" s="457"/>
      <c r="E89" s="457"/>
      <c r="F89" s="457"/>
      <c r="G89" s="457"/>
      <c r="H89" s="457"/>
      <c r="I89" s="457"/>
      <c r="J89" s="457"/>
      <c r="K89" s="457"/>
      <c r="L89" s="458"/>
      <c r="O89" s="531" t="s">
        <v>242</v>
      </c>
      <c r="P89" s="532"/>
      <c r="Q89" s="532"/>
      <c r="R89" s="533"/>
      <c r="S89" s="293"/>
      <c r="U89" s="293"/>
      <c r="Z89" s="366"/>
      <c r="AA89" s="366"/>
      <c r="AB89" s="366"/>
      <c r="AC89" s="366"/>
      <c r="AD89" s="366"/>
      <c r="AE89" s="366"/>
      <c r="AF89" s="366"/>
      <c r="AG89" s="366"/>
      <c r="AH89" s="366"/>
      <c r="AI89" s="366"/>
      <c r="AJ89" s="366"/>
      <c r="AK89" s="366"/>
      <c r="AV89" s="366"/>
      <c r="AW89" s="366"/>
      <c r="AX89" s="366"/>
    </row>
    <row r="90" spans="2:50" ht="30" customHeight="1" thickBot="1" x14ac:dyDescent="0.25">
      <c r="B90" s="380"/>
      <c r="C90" s="459" t="s">
        <v>300</v>
      </c>
      <c r="D90" s="460"/>
      <c r="E90" s="460"/>
      <c r="F90" s="460"/>
      <c r="G90" s="460"/>
      <c r="H90" s="460"/>
      <c r="I90" s="460"/>
      <c r="J90" s="460"/>
      <c r="K90" s="460"/>
      <c r="L90" s="461"/>
      <c r="O90" s="381">
        <v>5</v>
      </c>
      <c r="P90" s="382" t="s">
        <v>244</v>
      </c>
      <c r="Q90" s="383" t="s">
        <v>336</v>
      </c>
      <c r="R90" s="384"/>
      <c r="U90" s="293"/>
      <c r="Z90" s="366"/>
      <c r="AA90" s="366"/>
      <c r="AB90" s="366"/>
      <c r="AC90" s="366"/>
      <c r="AD90" s="366"/>
      <c r="AE90" s="366"/>
      <c r="AF90" s="366"/>
      <c r="AG90" s="366"/>
      <c r="AH90" s="366"/>
      <c r="AI90" s="366"/>
      <c r="AJ90" s="366"/>
      <c r="AK90" s="366"/>
      <c r="AV90" s="366"/>
      <c r="AW90" s="366"/>
      <c r="AX90" s="366"/>
    </row>
    <row r="91" spans="2:50" ht="30" customHeight="1" x14ac:dyDescent="0.2">
      <c r="B91" s="380"/>
      <c r="C91" s="366"/>
      <c r="D91" s="462" t="s">
        <v>3</v>
      </c>
      <c r="E91" s="464" t="s">
        <v>301</v>
      </c>
      <c r="F91" s="464" t="s">
        <v>302</v>
      </c>
      <c r="G91" s="464" t="s">
        <v>303</v>
      </c>
      <c r="H91" s="464" t="s">
        <v>304</v>
      </c>
      <c r="I91" s="464" t="s">
        <v>305</v>
      </c>
      <c r="J91" s="464" t="s">
        <v>306</v>
      </c>
      <c r="K91" s="464" t="s">
        <v>307</v>
      </c>
      <c r="L91" s="534" t="s">
        <v>308</v>
      </c>
      <c r="O91" s="385"/>
      <c r="P91" s="386"/>
      <c r="Q91" s="387"/>
      <c r="R91" s="388"/>
      <c r="U91" s="293"/>
      <c r="Z91" s="366"/>
      <c r="AA91" s="366"/>
      <c r="AB91" s="366"/>
      <c r="AC91" s="366"/>
      <c r="AD91" s="366"/>
      <c r="AE91" s="366"/>
      <c r="AF91" s="366"/>
      <c r="AG91" s="366"/>
      <c r="AH91" s="366"/>
      <c r="AI91" s="366"/>
      <c r="AJ91" s="366"/>
      <c r="AK91" s="366"/>
      <c r="AV91" s="366"/>
      <c r="AW91" s="366"/>
      <c r="AX91" s="366"/>
    </row>
    <row r="92" spans="2:50" ht="30" customHeight="1" thickBot="1" x14ac:dyDescent="0.25">
      <c r="B92" s="380"/>
      <c r="C92" s="389"/>
      <c r="D92" s="463"/>
      <c r="E92" s="465"/>
      <c r="F92" s="465"/>
      <c r="G92" s="465"/>
      <c r="H92" s="465"/>
      <c r="I92" s="465"/>
      <c r="J92" s="465"/>
      <c r="K92" s="465"/>
      <c r="L92" s="535"/>
      <c r="O92" s="381"/>
      <c r="P92" s="390"/>
      <c r="Q92" s="390"/>
      <c r="R92" s="391"/>
      <c r="U92" s="293"/>
      <c r="Z92" s="366"/>
      <c r="AA92" s="366"/>
      <c r="AB92" s="366"/>
      <c r="AC92" s="366"/>
      <c r="AD92" s="366"/>
      <c r="AE92" s="366"/>
      <c r="AF92" s="366"/>
      <c r="AG92" s="366"/>
      <c r="AH92" s="366"/>
      <c r="AI92" s="366"/>
      <c r="AJ92" s="366"/>
      <c r="AK92" s="366"/>
      <c r="AV92" s="366"/>
      <c r="AW92" s="366"/>
      <c r="AX92" s="366"/>
    </row>
    <row r="93" spans="2:50" ht="30" customHeight="1" thickBot="1" x14ac:dyDescent="0.25">
      <c r="B93" s="380"/>
      <c r="C93" s="389"/>
      <c r="D93" s="392"/>
      <c r="E93" s="393"/>
      <c r="F93" s="393"/>
      <c r="G93" s="393"/>
      <c r="H93" s="393"/>
      <c r="I93" s="393"/>
      <c r="J93" s="393"/>
      <c r="K93" s="393"/>
      <c r="L93" s="394"/>
      <c r="O93" s="381"/>
      <c r="P93" s="387"/>
      <c r="Q93" s="387"/>
      <c r="R93" s="391"/>
      <c r="U93" s="293"/>
      <c r="Z93" s="366"/>
      <c r="AA93" s="366"/>
      <c r="AB93" s="366"/>
      <c r="AC93" s="366"/>
      <c r="AD93" s="366"/>
      <c r="AE93" s="366"/>
      <c r="AF93" s="366"/>
      <c r="AG93" s="366"/>
      <c r="AH93" s="366"/>
      <c r="AI93" s="366"/>
      <c r="AJ93" s="366"/>
      <c r="AK93" s="366"/>
      <c r="AV93" s="366"/>
      <c r="AW93" s="366"/>
      <c r="AX93" s="366"/>
    </row>
    <row r="94" spans="2:50" ht="30" customHeight="1" x14ac:dyDescent="0.2">
      <c r="B94" s="380"/>
      <c r="C94" s="395" t="s">
        <v>309</v>
      </c>
      <c r="D94" s="468" t="s">
        <v>310</v>
      </c>
      <c r="E94" s="396" t="s">
        <v>369</v>
      </c>
      <c r="F94" s="397">
        <v>20.100000000000001</v>
      </c>
      <c r="G94" s="397">
        <v>0.1</v>
      </c>
      <c r="H94" s="398">
        <v>0</v>
      </c>
      <c r="I94" s="397">
        <v>0.2</v>
      </c>
      <c r="J94" s="397">
        <v>1.96</v>
      </c>
      <c r="K94" s="399">
        <v>42580</v>
      </c>
      <c r="L94" s="400" t="s">
        <v>356</v>
      </c>
      <c r="O94" s="381"/>
      <c r="P94" s="387"/>
      <c r="Q94" s="387"/>
      <c r="R94" s="391"/>
      <c r="U94" s="293"/>
      <c r="Z94" s="366"/>
      <c r="AA94" s="366"/>
      <c r="AB94" s="366"/>
      <c r="AC94" s="366"/>
      <c r="AD94" s="366"/>
      <c r="AE94" s="366"/>
      <c r="AF94" s="366"/>
      <c r="AG94" s="366"/>
      <c r="AH94" s="366"/>
      <c r="AI94" s="366"/>
      <c r="AJ94" s="366"/>
      <c r="AK94" s="366"/>
      <c r="AV94" s="366"/>
      <c r="AW94" s="366"/>
      <c r="AX94" s="366"/>
    </row>
    <row r="95" spans="2:50" ht="30" customHeight="1" x14ac:dyDescent="0.2">
      <c r="B95" s="380"/>
      <c r="C95" s="401" t="s">
        <v>311</v>
      </c>
      <c r="D95" s="469"/>
      <c r="E95" s="402">
        <v>2307140802024</v>
      </c>
      <c r="F95" s="403">
        <v>50.4</v>
      </c>
      <c r="G95" s="403">
        <v>0.1</v>
      </c>
      <c r="H95" s="403">
        <v>-0.4</v>
      </c>
      <c r="I95" s="403">
        <v>1.7</v>
      </c>
      <c r="J95" s="403">
        <v>1.96</v>
      </c>
      <c r="K95" s="404">
        <v>42586</v>
      </c>
      <c r="L95" s="405" t="s">
        <v>370</v>
      </c>
      <c r="O95" s="381"/>
      <c r="P95" s="387"/>
      <c r="Q95" s="387"/>
      <c r="R95" s="391"/>
      <c r="U95" s="293"/>
      <c r="Z95" s="366"/>
      <c r="AA95" s="366"/>
      <c r="AB95" s="366"/>
      <c r="AC95" s="366"/>
      <c r="AD95" s="366"/>
      <c r="AE95" s="366"/>
      <c r="AF95" s="366"/>
      <c r="AG95" s="366"/>
      <c r="AH95" s="366"/>
      <c r="AI95" s="366"/>
      <c r="AJ95" s="366"/>
      <c r="AK95" s="366"/>
      <c r="AV95" s="366"/>
      <c r="AW95" s="366"/>
      <c r="AX95" s="366"/>
    </row>
    <row r="96" spans="2:50" ht="30" customHeight="1" thickBot="1" x14ac:dyDescent="0.25">
      <c r="B96" s="380"/>
      <c r="C96" s="406" t="s">
        <v>312</v>
      </c>
      <c r="D96" s="470"/>
      <c r="E96" s="407" t="s">
        <v>369</v>
      </c>
      <c r="F96" s="408">
        <v>753.1</v>
      </c>
      <c r="G96" s="408">
        <v>0.1</v>
      </c>
      <c r="H96" s="408">
        <v>-0.74099999999999999</v>
      </c>
      <c r="I96" s="408">
        <v>6.4000000000000001E-2</v>
      </c>
      <c r="J96" s="408">
        <v>2</v>
      </c>
      <c r="K96" s="409">
        <v>42625</v>
      </c>
      <c r="L96" s="410" t="s">
        <v>371</v>
      </c>
      <c r="O96" s="381"/>
      <c r="P96" s="387"/>
      <c r="Q96" s="387"/>
      <c r="R96" s="391"/>
      <c r="U96" s="293"/>
      <c r="Z96" s="366"/>
      <c r="AA96" s="366"/>
      <c r="AB96" s="366"/>
      <c r="AC96" s="366"/>
      <c r="AD96" s="366"/>
      <c r="AE96" s="366"/>
      <c r="AF96" s="366"/>
      <c r="AG96" s="366"/>
      <c r="AH96" s="366"/>
      <c r="AI96" s="366"/>
      <c r="AJ96" s="366"/>
      <c r="AK96" s="366"/>
      <c r="AV96" s="366"/>
      <c r="AW96" s="366"/>
      <c r="AX96" s="366"/>
    </row>
    <row r="97" spans="2:50" ht="30" customHeight="1" thickBot="1" x14ac:dyDescent="0.25">
      <c r="B97" s="380"/>
      <c r="C97" s="411"/>
      <c r="D97" s="412"/>
      <c r="E97" s="413"/>
      <c r="F97" s="414"/>
      <c r="G97" s="414"/>
      <c r="H97" s="414"/>
      <c r="I97" s="414"/>
      <c r="J97" s="414"/>
      <c r="K97" s="415"/>
      <c r="L97" s="416"/>
      <c r="O97" s="381"/>
      <c r="P97" s="390"/>
      <c r="Q97" s="387"/>
      <c r="R97" s="391"/>
      <c r="U97" s="293"/>
      <c r="Z97" s="366"/>
      <c r="AA97" s="366"/>
      <c r="AB97" s="366"/>
      <c r="AC97" s="366"/>
      <c r="AD97" s="366"/>
      <c r="AE97" s="366"/>
      <c r="AF97" s="366"/>
      <c r="AG97" s="366"/>
      <c r="AH97" s="366"/>
      <c r="AI97" s="366"/>
      <c r="AJ97" s="366"/>
      <c r="AK97" s="366"/>
      <c r="AV97" s="366"/>
      <c r="AW97" s="366"/>
      <c r="AX97" s="366"/>
    </row>
    <row r="98" spans="2:50" ht="30" customHeight="1" x14ac:dyDescent="0.2">
      <c r="B98" s="380"/>
      <c r="C98" s="395" t="s">
        <v>313</v>
      </c>
      <c r="D98" s="468" t="s">
        <v>310</v>
      </c>
      <c r="E98" s="396">
        <v>19506160802033</v>
      </c>
      <c r="F98" s="397">
        <v>28.1</v>
      </c>
      <c r="G98" s="397">
        <v>0.1</v>
      </c>
      <c r="H98" s="397">
        <v>0.1</v>
      </c>
      <c r="I98" s="397">
        <v>1.5</v>
      </c>
      <c r="J98" s="397">
        <v>2</v>
      </c>
      <c r="K98" s="399">
        <v>42675</v>
      </c>
      <c r="L98" s="417" t="s">
        <v>366</v>
      </c>
      <c r="O98" s="381"/>
      <c r="P98" s="418"/>
      <c r="Q98" s="419"/>
      <c r="R98" s="420"/>
      <c r="T98" s="421"/>
      <c r="U98" s="293"/>
      <c r="Z98" s="366"/>
      <c r="AA98" s="366"/>
      <c r="AB98" s="366"/>
      <c r="AC98" s="366"/>
      <c r="AD98" s="366"/>
      <c r="AE98" s="366"/>
      <c r="AF98" s="366"/>
      <c r="AG98" s="366"/>
      <c r="AH98" s="366"/>
      <c r="AI98" s="366"/>
      <c r="AJ98" s="366"/>
      <c r="AK98" s="366"/>
      <c r="AV98" s="366"/>
      <c r="AW98" s="366"/>
      <c r="AX98" s="366"/>
    </row>
    <row r="99" spans="2:50" ht="30" customHeight="1" x14ac:dyDescent="0.2">
      <c r="B99" s="380"/>
      <c r="C99" s="401" t="s">
        <v>314</v>
      </c>
      <c r="D99" s="469"/>
      <c r="E99" s="402">
        <v>19506160802033</v>
      </c>
      <c r="F99" s="403">
        <v>59.9</v>
      </c>
      <c r="G99" s="403">
        <v>0.1</v>
      </c>
      <c r="H99" s="403">
        <v>0.47</v>
      </c>
      <c r="I99" s="403">
        <v>1.6</v>
      </c>
      <c r="J99" s="403">
        <v>2</v>
      </c>
      <c r="K99" s="404">
        <v>42676</v>
      </c>
      <c r="L99" s="405" t="s">
        <v>367</v>
      </c>
      <c r="O99" s="381"/>
      <c r="P99" s="418"/>
      <c r="Q99" s="418"/>
      <c r="R99" s="420"/>
      <c r="T99" s="364"/>
      <c r="U99" s="293"/>
      <c r="Z99" s="366"/>
      <c r="AA99" s="366"/>
      <c r="AB99" s="366"/>
      <c r="AC99" s="366"/>
      <c r="AD99" s="366"/>
      <c r="AE99" s="366"/>
      <c r="AF99" s="366"/>
      <c r="AG99" s="366"/>
      <c r="AH99" s="366"/>
      <c r="AI99" s="366"/>
      <c r="AJ99" s="366"/>
      <c r="AK99" s="366"/>
      <c r="AV99" s="366"/>
      <c r="AW99" s="366"/>
      <c r="AX99" s="366"/>
    </row>
    <row r="100" spans="2:50" ht="30" customHeight="1" thickBot="1" x14ac:dyDescent="0.25">
      <c r="B100" s="380"/>
      <c r="C100" s="406" t="s">
        <v>315</v>
      </c>
      <c r="D100" s="470"/>
      <c r="E100" s="407">
        <v>19506160802033</v>
      </c>
      <c r="F100" s="408">
        <v>1099.8</v>
      </c>
      <c r="G100" s="408">
        <v>0.1</v>
      </c>
      <c r="H100" s="408">
        <v>-0.4</v>
      </c>
      <c r="I100" s="408">
        <v>0.17</v>
      </c>
      <c r="J100" s="408">
        <v>2</v>
      </c>
      <c r="K100" s="409">
        <v>42671</v>
      </c>
      <c r="L100" s="422" t="s">
        <v>368</v>
      </c>
      <c r="O100" s="381"/>
      <c r="P100" s="419"/>
      <c r="Q100" s="418"/>
      <c r="R100" s="420"/>
      <c r="T100" s="364"/>
      <c r="U100" s="293"/>
      <c r="Z100" s="366"/>
      <c r="AA100" s="366"/>
      <c r="AB100" s="366"/>
      <c r="AC100" s="366"/>
      <c r="AD100" s="366"/>
      <c r="AE100" s="366"/>
      <c r="AF100" s="366"/>
      <c r="AG100" s="366"/>
      <c r="AH100" s="366"/>
      <c r="AI100" s="366"/>
      <c r="AJ100" s="366"/>
      <c r="AK100" s="366"/>
      <c r="AV100" s="366"/>
      <c r="AW100" s="366"/>
      <c r="AX100" s="366"/>
    </row>
    <row r="101" spans="2:50" ht="30" customHeight="1" thickBot="1" x14ac:dyDescent="0.25">
      <c r="B101" s="380"/>
      <c r="C101" s="423"/>
      <c r="D101" s="424"/>
      <c r="E101" s="413"/>
      <c r="F101" s="414"/>
      <c r="G101" s="414"/>
      <c r="H101" s="414"/>
      <c r="I101" s="414"/>
      <c r="J101" s="414"/>
      <c r="K101" s="415"/>
      <c r="L101" s="416"/>
      <c r="O101" s="381"/>
      <c r="P101" s="419"/>
      <c r="Q101" s="419"/>
      <c r="R101" s="420"/>
      <c r="T101" s="364"/>
      <c r="U101" s="293"/>
      <c r="Z101" s="366"/>
      <c r="AA101" s="366"/>
      <c r="AB101" s="366"/>
      <c r="AC101" s="366"/>
      <c r="AD101" s="366"/>
      <c r="AE101" s="366"/>
      <c r="AF101" s="366"/>
      <c r="AG101" s="366"/>
      <c r="AH101" s="366"/>
      <c r="AI101" s="366"/>
      <c r="AJ101" s="366"/>
      <c r="AK101" s="366"/>
      <c r="AV101" s="366"/>
      <c r="AW101" s="366"/>
      <c r="AX101" s="366"/>
    </row>
    <row r="102" spans="2:50" ht="30" customHeight="1" x14ac:dyDescent="0.2">
      <c r="B102" s="366"/>
      <c r="C102" s="395" t="s">
        <v>316</v>
      </c>
      <c r="D102" s="468" t="s">
        <v>310</v>
      </c>
      <c r="E102" s="396">
        <v>19406160802033</v>
      </c>
      <c r="F102" s="397">
        <v>20.100000000000001</v>
      </c>
      <c r="G102" s="397">
        <v>0.1</v>
      </c>
      <c r="H102" s="397">
        <v>-0.1</v>
      </c>
      <c r="I102" s="397">
        <v>1.5</v>
      </c>
      <c r="J102" s="397">
        <v>2</v>
      </c>
      <c r="K102" s="399">
        <v>42676</v>
      </c>
      <c r="L102" s="417" t="s">
        <v>363</v>
      </c>
      <c r="O102" s="381"/>
      <c r="P102" s="419"/>
      <c r="Q102" s="419"/>
      <c r="R102" s="420"/>
      <c r="T102" s="364"/>
      <c r="U102" s="293"/>
      <c r="Z102" s="366"/>
      <c r="AA102" s="366"/>
      <c r="AB102" s="366"/>
      <c r="AC102" s="366"/>
      <c r="AD102" s="366"/>
      <c r="AE102" s="366"/>
      <c r="AF102" s="366"/>
      <c r="AG102" s="366"/>
      <c r="AH102" s="366"/>
      <c r="AI102" s="366"/>
      <c r="AJ102" s="366"/>
      <c r="AK102" s="366"/>
      <c r="AL102" s="366"/>
      <c r="AM102" s="366"/>
      <c r="AN102" s="366"/>
      <c r="AO102" s="366"/>
      <c r="AP102" s="366"/>
      <c r="AQ102" s="366"/>
      <c r="AR102" s="366"/>
      <c r="AS102" s="366"/>
      <c r="AT102" s="366"/>
      <c r="AU102" s="366"/>
      <c r="AV102" s="366"/>
      <c r="AW102" s="366"/>
      <c r="AX102" s="366"/>
    </row>
    <row r="103" spans="2:50" ht="30" customHeight="1" x14ac:dyDescent="0.2">
      <c r="B103" s="366"/>
      <c r="C103" s="401" t="s">
        <v>317</v>
      </c>
      <c r="D103" s="469"/>
      <c r="E103" s="402">
        <v>19406160802033</v>
      </c>
      <c r="F103" s="403">
        <v>49.8</v>
      </c>
      <c r="G103" s="403">
        <v>0.1</v>
      </c>
      <c r="H103" s="403">
        <v>0.63</v>
      </c>
      <c r="I103" s="403">
        <v>1.6</v>
      </c>
      <c r="J103" s="403">
        <v>2</v>
      </c>
      <c r="K103" s="404">
        <v>42674</v>
      </c>
      <c r="L103" s="405" t="s">
        <v>364</v>
      </c>
      <c r="O103" s="381"/>
      <c r="P103" s="419"/>
      <c r="Q103" s="419"/>
      <c r="R103" s="420"/>
      <c r="T103" s="364"/>
      <c r="U103" s="293"/>
      <c r="Z103" s="366"/>
      <c r="AA103" s="366"/>
      <c r="AB103" s="366"/>
      <c r="AC103" s="366"/>
      <c r="AD103" s="366"/>
      <c r="AE103" s="366"/>
      <c r="AF103" s="366"/>
      <c r="AG103" s="366"/>
      <c r="AH103" s="366"/>
      <c r="AI103" s="366"/>
      <c r="AJ103" s="366"/>
      <c r="AK103" s="366"/>
      <c r="AL103" s="366"/>
      <c r="AM103" s="366"/>
      <c r="AN103" s="366"/>
      <c r="AO103" s="366"/>
      <c r="AP103" s="366"/>
      <c r="AQ103" s="366"/>
      <c r="AR103" s="366"/>
      <c r="AS103" s="366"/>
      <c r="AT103" s="366"/>
      <c r="AU103" s="366"/>
      <c r="AV103" s="366"/>
      <c r="AW103" s="366"/>
      <c r="AX103" s="366"/>
    </row>
    <row r="104" spans="2:50" ht="30" customHeight="1" thickBot="1" x14ac:dyDescent="0.25">
      <c r="B104" s="366"/>
      <c r="C104" s="406" t="s">
        <v>318</v>
      </c>
      <c r="D104" s="470"/>
      <c r="E104" s="407">
        <v>19406160802033</v>
      </c>
      <c r="F104" s="408">
        <v>724.6</v>
      </c>
      <c r="G104" s="408">
        <v>0.1</v>
      </c>
      <c r="H104" s="408">
        <v>-0.5</v>
      </c>
      <c r="I104" s="408">
        <v>0.17</v>
      </c>
      <c r="J104" s="408">
        <v>2</v>
      </c>
      <c r="K104" s="409">
        <v>42671</v>
      </c>
      <c r="L104" s="422" t="s">
        <v>365</v>
      </c>
      <c r="O104" s="425"/>
      <c r="P104" s="419"/>
      <c r="Q104" s="419"/>
      <c r="R104" s="420"/>
      <c r="T104" s="364"/>
      <c r="U104" s="293"/>
      <c r="Z104" s="366"/>
      <c r="AA104" s="366"/>
      <c r="AB104" s="366"/>
      <c r="AC104" s="366"/>
      <c r="AD104" s="366"/>
      <c r="AE104" s="366"/>
      <c r="AF104" s="366"/>
      <c r="AG104" s="366"/>
      <c r="AH104" s="366"/>
      <c r="AI104" s="366"/>
      <c r="AJ104" s="366"/>
      <c r="AK104" s="366"/>
      <c r="AL104" s="366"/>
      <c r="AM104" s="366"/>
      <c r="AN104" s="366"/>
      <c r="AO104" s="366"/>
      <c r="AP104" s="366"/>
      <c r="AQ104" s="366"/>
      <c r="AR104" s="366"/>
      <c r="AS104" s="366"/>
      <c r="AT104" s="366"/>
      <c r="AU104" s="366"/>
      <c r="AV104" s="366"/>
      <c r="AW104" s="366"/>
      <c r="AX104" s="366"/>
    </row>
    <row r="105" spans="2:50" ht="30" customHeight="1" thickBot="1" x14ac:dyDescent="0.25">
      <c r="B105" s="366"/>
      <c r="C105" s="411"/>
      <c r="D105" s="412"/>
      <c r="E105" s="413"/>
      <c r="F105" s="414"/>
      <c r="G105" s="414"/>
      <c r="H105" s="414"/>
      <c r="I105" s="414"/>
      <c r="J105" s="414"/>
      <c r="K105" s="415"/>
      <c r="L105" s="416"/>
      <c r="O105" s="425"/>
      <c r="P105" s="419"/>
      <c r="Q105" s="419"/>
      <c r="R105" s="420"/>
      <c r="T105" s="364"/>
      <c r="U105" s="293"/>
      <c r="Z105" s="366"/>
      <c r="AA105" s="366"/>
      <c r="AB105" s="366"/>
      <c r="AC105" s="366"/>
      <c r="AD105" s="366"/>
      <c r="AE105" s="366"/>
      <c r="AF105" s="366"/>
      <c r="AG105" s="366"/>
      <c r="AH105" s="366"/>
      <c r="AI105" s="366"/>
      <c r="AJ105" s="366"/>
      <c r="AK105" s="366"/>
      <c r="AL105" s="366"/>
      <c r="AM105" s="366"/>
      <c r="AN105" s="366"/>
      <c r="AO105" s="366"/>
      <c r="AP105" s="366"/>
      <c r="AQ105" s="366"/>
      <c r="AR105" s="366"/>
      <c r="AS105" s="366"/>
      <c r="AT105" s="366"/>
      <c r="AU105" s="366"/>
      <c r="AV105" s="366"/>
      <c r="AW105" s="366"/>
      <c r="AX105" s="366"/>
    </row>
    <row r="106" spans="2:50" ht="30" customHeight="1" x14ac:dyDescent="0.2">
      <c r="B106" s="366"/>
      <c r="C106" s="395" t="s">
        <v>319</v>
      </c>
      <c r="D106" s="468" t="s">
        <v>310</v>
      </c>
      <c r="E106" s="396" t="s">
        <v>359</v>
      </c>
      <c r="F106" s="397">
        <v>20.100000000000001</v>
      </c>
      <c r="G106" s="397">
        <v>0.1</v>
      </c>
      <c r="H106" s="398">
        <v>0</v>
      </c>
      <c r="I106" s="397">
        <v>0.2</v>
      </c>
      <c r="J106" s="397">
        <v>1.96</v>
      </c>
      <c r="K106" s="399">
        <v>42580</v>
      </c>
      <c r="L106" s="417" t="s">
        <v>360</v>
      </c>
      <c r="O106" s="425"/>
      <c r="P106" s="419"/>
      <c r="Q106" s="419"/>
      <c r="R106" s="420"/>
      <c r="T106" s="294"/>
      <c r="U106" s="293"/>
      <c r="Z106" s="366"/>
      <c r="AA106" s="366"/>
      <c r="AB106" s="366"/>
      <c r="AC106" s="366"/>
      <c r="AD106" s="366"/>
      <c r="AE106" s="366"/>
      <c r="AF106" s="366"/>
      <c r="AG106" s="366"/>
      <c r="AH106" s="366"/>
      <c r="AI106" s="366"/>
      <c r="AJ106" s="366"/>
      <c r="AK106" s="366"/>
      <c r="AL106" s="366"/>
      <c r="AM106" s="366"/>
      <c r="AN106" s="366"/>
      <c r="AO106" s="366"/>
      <c r="AP106" s="366"/>
      <c r="AQ106" s="366"/>
      <c r="AR106" s="366"/>
      <c r="AS106" s="366"/>
      <c r="AT106" s="366"/>
      <c r="AU106" s="366"/>
      <c r="AV106" s="366"/>
      <c r="AW106" s="366"/>
      <c r="AX106" s="366"/>
    </row>
    <row r="107" spans="2:50" ht="30" customHeight="1" x14ac:dyDescent="0.2">
      <c r="B107" s="366"/>
      <c r="C107" s="401" t="s">
        <v>320</v>
      </c>
      <c r="D107" s="469"/>
      <c r="E107" s="402" t="s">
        <v>359</v>
      </c>
      <c r="F107" s="403">
        <v>50.6</v>
      </c>
      <c r="G107" s="403">
        <v>0.1</v>
      </c>
      <c r="H107" s="403">
        <v>-0.6</v>
      </c>
      <c r="I107" s="403">
        <v>1.7</v>
      </c>
      <c r="J107" s="403">
        <v>1.96</v>
      </c>
      <c r="K107" s="404">
        <v>42586</v>
      </c>
      <c r="L107" s="426" t="s">
        <v>361</v>
      </c>
      <c r="O107" s="425"/>
      <c r="P107" s="419"/>
      <c r="Q107" s="419"/>
      <c r="R107" s="420"/>
      <c r="T107" s="294"/>
      <c r="U107" s="293"/>
      <c r="Z107" s="366"/>
      <c r="AA107" s="366"/>
      <c r="AB107" s="366"/>
      <c r="AC107" s="366"/>
      <c r="AD107" s="366"/>
      <c r="AE107" s="366"/>
      <c r="AF107" s="366"/>
      <c r="AG107" s="366"/>
      <c r="AH107" s="366"/>
      <c r="AI107" s="366"/>
      <c r="AJ107" s="366"/>
      <c r="AK107" s="366"/>
      <c r="AL107" s="366"/>
      <c r="AM107" s="366"/>
      <c r="AN107" s="366"/>
      <c r="AO107" s="366"/>
      <c r="AP107" s="366"/>
      <c r="AQ107" s="366"/>
      <c r="AR107" s="366"/>
      <c r="AS107" s="366"/>
      <c r="AT107" s="366"/>
      <c r="AU107" s="366"/>
      <c r="AV107" s="366"/>
      <c r="AW107" s="366"/>
      <c r="AX107" s="366"/>
    </row>
    <row r="108" spans="2:50" ht="30" customHeight="1" thickBot="1" x14ac:dyDescent="0.25">
      <c r="B108" s="366"/>
      <c r="C108" s="406" t="s">
        <v>321</v>
      </c>
      <c r="D108" s="470"/>
      <c r="E108" s="407" t="s">
        <v>359</v>
      </c>
      <c r="F108" s="408">
        <v>753.2</v>
      </c>
      <c r="G108" s="408">
        <v>0.1</v>
      </c>
      <c r="H108" s="408">
        <v>-0.64100000000000001</v>
      </c>
      <c r="I108" s="408">
        <v>6.4000000000000001E-2</v>
      </c>
      <c r="J108" s="408">
        <v>2</v>
      </c>
      <c r="K108" s="409">
        <v>42625</v>
      </c>
      <c r="L108" s="410" t="s">
        <v>362</v>
      </c>
      <c r="O108" s="425"/>
      <c r="P108" s="419"/>
      <c r="Q108" s="419"/>
      <c r="R108" s="420"/>
      <c r="T108" s="294"/>
      <c r="U108" s="293"/>
      <c r="Z108" s="366"/>
      <c r="AA108" s="366"/>
      <c r="AB108" s="366"/>
      <c r="AC108" s="366"/>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366"/>
    </row>
    <row r="109" spans="2:50" ht="30" customHeight="1" thickBot="1" x14ac:dyDescent="0.25">
      <c r="B109" s="366"/>
      <c r="C109" s="411"/>
      <c r="D109" s="412"/>
      <c r="E109" s="413"/>
      <c r="F109" s="414"/>
      <c r="G109" s="414"/>
      <c r="H109" s="414"/>
      <c r="I109" s="414"/>
      <c r="J109" s="414"/>
      <c r="K109" s="415"/>
      <c r="L109" s="416"/>
      <c r="O109" s="427"/>
      <c r="P109" s="428"/>
      <c r="Q109" s="428"/>
      <c r="R109" s="429"/>
      <c r="T109" s="294"/>
      <c r="U109" s="293"/>
      <c r="V109" s="293"/>
      <c r="W109" s="366"/>
      <c r="X109" s="366"/>
      <c r="Y109" s="366"/>
      <c r="Z109" s="366"/>
      <c r="AA109" s="366"/>
      <c r="AB109" s="366"/>
      <c r="AC109" s="366"/>
      <c r="AD109" s="366"/>
      <c r="AE109" s="366"/>
      <c r="AF109" s="366"/>
      <c r="AG109" s="366"/>
      <c r="AH109" s="366"/>
      <c r="AI109" s="366"/>
      <c r="AJ109" s="366"/>
      <c r="AK109" s="366"/>
      <c r="AL109" s="366"/>
      <c r="AM109" s="366"/>
      <c r="AN109" s="366"/>
      <c r="AO109" s="366"/>
      <c r="AP109" s="366"/>
      <c r="AQ109" s="366"/>
      <c r="AR109" s="366"/>
      <c r="AS109" s="366"/>
      <c r="AT109" s="366"/>
      <c r="AU109" s="366"/>
      <c r="AV109" s="366"/>
      <c r="AW109" s="366"/>
      <c r="AX109" s="366"/>
    </row>
    <row r="110" spans="2:50" ht="30" customHeight="1" thickBot="1" x14ac:dyDescent="0.25">
      <c r="B110" s="366"/>
      <c r="C110" s="395" t="s">
        <v>322</v>
      </c>
      <c r="D110" s="515" t="s">
        <v>310</v>
      </c>
      <c r="E110" s="430" t="s">
        <v>354</v>
      </c>
      <c r="F110" s="398">
        <v>20</v>
      </c>
      <c r="G110" s="397">
        <v>0.1</v>
      </c>
      <c r="H110" s="397">
        <v>0.1</v>
      </c>
      <c r="I110" s="397">
        <v>0.2</v>
      </c>
      <c r="J110" s="397">
        <v>1.96</v>
      </c>
      <c r="K110" s="399">
        <v>42586</v>
      </c>
      <c r="L110" s="417" t="s">
        <v>355</v>
      </c>
      <c r="O110" s="294"/>
      <c r="T110" s="294"/>
      <c r="U110" s="293"/>
      <c r="V110" s="293"/>
      <c r="W110" s="366"/>
      <c r="X110" s="366"/>
      <c r="Y110" s="366"/>
      <c r="Z110" s="366"/>
      <c r="AA110" s="366"/>
      <c r="AB110" s="366"/>
      <c r="AC110" s="366"/>
      <c r="AD110" s="366"/>
      <c r="AE110" s="366"/>
      <c r="AF110" s="366"/>
      <c r="AG110" s="366"/>
      <c r="AH110" s="366"/>
      <c r="AI110" s="366"/>
      <c r="AJ110" s="366"/>
      <c r="AK110" s="366"/>
      <c r="AL110" s="366"/>
      <c r="AM110" s="366"/>
      <c r="AN110" s="366"/>
      <c r="AO110" s="366"/>
      <c r="AP110" s="366"/>
      <c r="AQ110" s="366"/>
      <c r="AR110" s="366"/>
      <c r="AS110" s="366"/>
      <c r="AT110" s="366"/>
      <c r="AU110" s="366"/>
      <c r="AV110" s="366"/>
      <c r="AW110" s="366"/>
      <c r="AX110" s="366"/>
    </row>
    <row r="111" spans="2:50" ht="30" customHeight="1" x14ac:dyDescent="0.2">
      <c r="C111" s="401" t="s">
        <v>323</v>
      </c>
      <c r="D111" s="516"/>
      <c r="E111" s="431" t="s">
        <v>354</v>
      </c>
      <c r="F111" s="403">
        <v>50.5</v>
      </c>
      <c r="G111" s="403">
        <v>0.1</v>
      </c>
      <c r="H111" s="403">
        <v>-0.5</v>
      </c>
      <c r="I111" s="403">
        <v>1.7</v>
      </c>
      <c r="J111" s="403">
        <v>1.96</v>
      </c>
      <c r="K111" s="404">
        <v>42586</v>
      </c>
      <c r="L111" s="417" t="s">
        <v>357</v>
      </c>
      <c r="O111" s="294"/>
      <c r="T111" s="294"/>
      <c r="U111" s="293"/>
      <c r="V111" s="293"/>
    </row>
    <row r="112" spans="2:50" ht="30" customHeight="1" thickBot="1" x14ac:dyDescent="0.25">
      <c r="C112" s="406" t="s">
        <v>324</v>
      </c>
      <c r="D112" s="517"/>
      <c r="E112" s="432" t="s">
        <v>354</v>
      </c>
      <c r="F112" s="408">
        <v>753.2</v>
      </c>
      <c r="G112" s="408">
        <v>0.1</v>
      </c>
      <c r="H112" s="408">
        <v>-0.64100000000000001</v>
      </c>
      <c r="I112" s="408">
        <v>6.4000000000000001E-2</v>
      </c>
      <c r="J112" s="408">
        <v>2</v>
      </c>
      <c r="K112" s="409">
        <v>42625</v>
      </c>
      <c r="L112" s="433" t="s">
        <v>358</v>
      </c>
      <c r="O112" s="294"/>
      <c r="T112" s="294"/>
      <c r="U112" s="293"/>
      <c r="V112" s="293"/>
    </row>
    <row r="113" spans="3:22" ht="30" customHeight="1" x14ac:dyDescent="0.2">
      <c r="O113" s="293"/>
      <c r="P113" s="293"/>
      <c r="Q113" s="293"/>
      <c r="R113" s="293"/>
      <c r="S113" s="293"/>
      <c r="T113" s="293"/>
      <c r="U113" s="293"/>
      <c r="V113" s="293"/>
    </row>
    <row r="114" spans="3:22" ht="30" customHeight="1" thickBot="1" x14ac:dyDescent="0.25">
      <c r="O114" s="293"/>
      <c r="P114" s="293"/>
      <c r="Q114" s="293"/>
      <c r="R114" s="293"/>
      <c r="S114" s="293"/>
      <c r="T114" s="293"/>
      <c r="U114" s="293"/>
      <c r="V114" s="293"/>
    </row>
    <row r="115" spans="3:22" ht="30" customHeight="1" x14ac:dyDescent="0.2">
      <c r="C115" s="471" t="s">
        <v>285</v>
      </c>
      <c r="D115" s="472"/>
      <c r="E115" s="472"/>
      <c r="F115" s="472"/>
      <c r="G115" s="473"/>
      <c r="O115" s="293"/>
      <c r="P115" s="293"/>
      <c r="Q115" s="293"/>
      <c r="R115" s="293"/>
      <c r="S115" s="293"/>
      <c r="T115" s="293"/>
      <c r="U115" s="293"/>
      <c r="V115" s="293"/>
    </row>
    <row r="116" spans="3:22" ht="30" customHeight="1" thickBot="1" x14ac:dyDescent="0.25">
      <c r="C116" s="474"/>
      <c r="D116" s="475"/>
      <c r="E116" s="475"/>
      <c r="F116" s="475"/>
      <c r="G116" s="476"/>
      <c r="O116" s="293"/>
      <c r="P116" s="293"/>
      <c r="Q116" s="293"/>
      <c r="R116" s="293"/>
      <c r="S116" s="293"/>
      <c r="T116" s="293"/>
      <c r="U116" s="293"/>
      <c r="V116" s="293"/>
    </row>
    <row r="117" spans="3:22" ht="30" customHeight="1" x14ac:dyDescent="0.2">
      <c r="C117" s="466" t="s">
        <v>188</v>
      </c>
      <c r="D117" s="447" t="s">
        <v>286</v>
      </c>
      <c r="E117" s="448"/>
      <c r="F117" s="448"/>
      <c r="G117" s="449"/>
      <c r="O117" s="293"/>
      <c r="P117" s="293"/>
      <c r="Q117" s="293"/>
      <c r="R117" s="293"/>
      <c r="S117" s="293"/>
      <c r="T117" s="293"/>
      <c r="U117" s="293"/>
      <c r="V117" s="293"/>
    </row>
    <row r="118" spans="3:22" ht="30" customHeight="1" thickBot="1" x14ac:dyDescent="0.25">
      <c r="C118" s="467"/>
      <c r="D118" s="450"/>
      <c r="E118" s="451"/>
      <c r="F118" s="451"/>
      <c r="G118" s="452"/>
      <c r="O118" s="293"/>
      <c r="P118" s="293"/>
      <c r="Q118" s="293"/>
      <c r="R118" s="293"/>
      <c r="S118" s="293"/>
      <c r="T118" s="293"/>
      <c r="U118" s="293"/>
      <c r="V118" s="293"/>
    </row>
    <row r="119" spans="3:22" ht="30" customHeight="1" x14ac:dyDescent="0.2">
      <c r="C119" s="434"/>
      <c r="D119" s="435"/>
      <c r="E119" s="435"/>
      <c r="F119" s="435"/>
      <c r="G119" s="436"/>
      <c r="O119" s="293"/>
      <c r="P119" s="293"/>
      <c r="Q119" s="293"/>
      <c r="R119" s="293"/>
      <c r="S119" s="293"/>
      <c r="T119" s="293"/>
      <c r="U119" s="293"/>
      <c r="V119" s="293"/>
    </row>
    <row r="120" spans="3:22" ht="30" customHeight="1" x14ac:dyDescent="0.2">
      <c r="C120" s="401" t="s">
        <v>287</v>
      </c>
      <c r="D120" s="437" t="s">
        <v>288</v>
      </c>
      <c r="E120" s="438"/>
      <c r="F120" s="438" t="s">
        <v>289</v>
      </c>
      <c r="G120" s="439"/>
      <c r="O120" s="293"/>
      <c r="P120" s="293"/>
      <c r="Q120" s="293"/>
      <c r="R120" s="293"/>
      <c r="S120" s="293"/>
      <c r="T120" s="293"/>
      <c r="U120" s="293"/>
      <c r="V120" s="293"/>
    </row>
    <row r="121" spans="3:22" ht="30" customHeight="1" x14ac:dyDescent="0.2">
      <c r="C121" s="401" t="s">
        <v>290</v>
      </c>
      <c r="D121" s="437" t="s">
        <v>291</v>
      </c>
      <c r="E121" s="438"/>
      <c r="F121" s="438" t="s">
        <v>292</v>
      </c>
      <c r="G121" s="439"/>
      <c r="U121" s="293"/>
      <c r="V121" s="293"/>
    </row>
    <row r="122" spans="3:22" ht="30" customHeight="1" x14ac:dyDescent="0.2">
      <c r="C122" s="401" t="s">
        <v>293</v>
      </c>
      <c r="D122" s="437" t="s">
        <v>294</v>
      </c>
      <c r="E122" s="438"/>
      <c r="F122" s="438" t="s">
        <v>295</v>
      </c>
      <c r="G122" s="439"/>
      <c r="U122" s="293"/>
      <c r="V122" s="293"/>
    </row>
    <row r="123" spans="3:22" ht="30" customHeight="1" thickBot="1" x14ac:dyDescent="0.25">
      <c r="C123" s="406" t="s">
        <v>296</v>
      </c>
      <c r="D123" s="440" t="s">
        <v>297</v>
      </c>
      <c r="E123" s="441"/>
      <c r="F123" s="442" t="s">
        <v>298</v>
      </c>
      <c r="G123" s="443"/>
      <c r="U123" s="293"/>
      <c r="V123" s="293"/>
    </row>
    <row r="124" spans="3:22" ht="30" customHeight="1" x14ac:dyDescent="0.2">
      <c r="U124" s="293"/>
      <c r="V124" s="293"/>
    </row>
    <row r="125" spans="3:22" ht="30" customHeight="1" x14ac:dyDescent="0.2">
      <c r="U125" s="293"/>
      <c r="V125" s="293"/>
    </row>
    <row r="126" spans="3:22" ht="30" customHeight="1" x14ac:dyDescent="0.2">
      <c r="U126" s="293"/>
      <c r="V126" s="293"/>
    </row>
    <row r="127" spans="3:22" ht="30" customHeight="1" x14ac:dyDescent="0.2">
      <c r="U127" s="293"/>
      <c r="V127" s="293"/>
    </row>
    <row r="128" spans="3:22" ht="30" customHeight="1" x14ac:dyDescent="0.2">
      <c r="U128" s="293"/>
      <c r="V128" s="293"/>
    </row>
    <row r="129" spans="21:22" x14ac:dyDescent="0.2">
      <c r="U129" s="293"/>
      <c r="V129" s="293"/>
    </row>
    <row r="130" spans="21:22" x14ac:dyDescent="0.2">
      <c r="U130" s="293"/>
      <c r="V130" s="293"/>
    </row>
    <row r="190" spans="64:67" ht="35.1" customHeight="1" x14ac:dyDescent="0.25">
      <c r="BL190" s="444"/>
      <c r="BM190" s="444"/>
      <c r="BN190" s="444"/>
      <c r="BO190" s="444"/>
    </row>
    <row r="191" spans="64:67" ht="35.1" customHeight="1" x14ac:dyDescent="0.25">
      <c r="BL191" s="444"/>
      <c r="BM191" s="444"/>
      <c r="BN191" s="444"/>
      <c r="BO191" s="444"/>
    </row>
    <row r="192" spans="64:67" ht="35.1" customHeight="1" x14ac:dyDescent="0.25">
      <c r="BL192" s="444"/>
      <c r="BM192" s="444"/>
      <c r="BN192" s="444"/>
      <c r="BO192" s="444"/>
    </row>
    <row r="193" spans="64:67" ht="35.1" customHeight="1" x14ac:dyDescent="0.25">
      <c r="BL193" s="444"/>
      <c r="BM193" s="444"/>
      <c r="BN193" s="444"/>
      <c r="BO193" s="444"/>
    </row>
  </sheetData>
  <mergeCells count="63">
    <mergeCell ref="D106:D108"/>
    <mergeCell ref="D110:D112"/>
    <mergeCell ref="B28:B32"/>
    <mergeCell ref="R25:R26"/>
    <mergeCell ref="C23:R24"/>
    <mergeCell ref="B69:B84"/>
    <mergeCell ref="B51:B66"/>
    <mergeCell ref="B34:B50"/>
    <mergeCell ref="Q25:Q26"/>
    <mergeCell ref="O25:O26"/>
    <mergeCell ref="O89:R89"/>
    <mergeCell ref="L91:L92"/>
    <mergeCell ref="C25:C26"/>
    <mergeCell ref="D25:D26"/>
    <mergeCell ref="E25:E26"/>
    <mergeCell ref="F25:F26"/>
    <mergeCell ref="C3:K4"/>
    <mergeCell ref="C5:C6"/>
    <mergeCell ref="D5:D6"/>
    <mergeCell ref="E5:E6"/>
    <mergeCell ref="F5:F6"/>
    <mergeCell ref="G5:G6"/>
    <mergeCell ref="H5:H6"/>
    <mergeCell ref="I5:I6"/>
    <mergeCell ref="J5:J6"/>
    <mergeCell ref="K5:K6"/>
    <mergeCell ref="C12:L13"/>
    <mergeCell ref="C14:C15"/>
    <mergeCell ref="D14:D15"/>
    <mergeCell ref="E14:E15"/>
    <mergeCell ref="F14:F15"/>
    <mergeCell ref="H14:H15"/>
    <mergeCell ref="I14:I15"/>
    <mergeCell ref="J14:J15"/>
    <mergeCell ref="K14:K15"/>
    <mergeCell ref="L14:L15"/>
    <mergeCell ref="G14:G15"/>
    <mergeCell ref="G25:G26"/>
    <mergeCell ref="O88:R88"/>
    <mergeCell ref="H25:H26"/>
    <mergeCell ref="I25:I26"/>
    <mergeCell ref="J25:J26"/>
    <mergeCell ref="M25:M26"/>
    <mergeCell ref="N25:N26"/>
    <mergeCell ref="K25:K26"/>
    <mergeCell ref="L25:L26"/>
    <mergeCell ref="P25:P26"/>
    <mergeCell ref="D117:G118"/>
    <mergeCell ref="C88:L89"/>
    <mergeCell ref="C90:L90"/>
    <mergeCell ref="D91:D92"/>
    <mergeCell ref="E91:E92"/>
    <mergeCell ref="F91:F92"/>
    <mergeCell ref="G91:G92"/>
    <mergeCell ref="H91:H92"/>
    <mergeCell ref="I91:I92"/>
    <mergeCell ref="J91:J92"/>
    <mergeCell ref="C117:C118"/>
    <mergeCell ref="D94:D96"/>
    <mergeCell ref="D98:D100"/>
    <mergeCell ref="D102:D104"/>
    <mergeCell ref="C115:G116"/>
    <mergeCell ref="K91:K92"/>
  </mergeCells>
  <pageMargins left="0.7" right="0.7" top="0.75" bottom="0.75" header="0.3" footer="0.3"/>
  <pageSetup scale="10" orientation="landscape" horizontalDpi="4294967293" r:id="rId1"/>
  <rowBreaks count="1" manualBreakCount="1">
    <brk id="8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7"/>
  <sheetViews>
    <sheetView showGridLines="0" tabSelected="1" view="pageBreakPreview" topLeftCell="B1" zoomScale="70" zoomScaleNormal="10" zoomScaleSheetLayoutView="70" workbookViewId="0">
      <selection activeCell="D10" sqref="D10"/>
    </sheetView>
  </sheetViews>
  <sheetFormatPr baseColWidth="10" defaultColWidth="15.7109375" defaultRowHeight="35.1" customHeight="1" x14ac:dyDescent="0.2"/>
  <cols>
    <col min="1" max="1" width="16.7109375" style="95" customWidth="1"/>
    <col min="2" max="11" width="16.7109375" style="100" customWidth="1"/>
    <col min="12" max="12" width="16.7109375" style="95" customWidth="1"/>
    <col min="13" max="16384" width="15.7109375" style="95"/>
  </cols>
  <sheetData>
    <row r="1" spans="1:20" ht="35.1" customHeight="1" x14ac:dyDescent="0.2">
      <c r="A1" s="605"/>
      <c r="B1" s="606"/>
      <c r="C1" s="622" t="s">
        <v>372</v>
      </c>
      <c r="D1" s="623"/>
      <c r="E1" s="623"/>
      <c r="F1" s="623"/>
      <c r="G1" s="623"/>
      <c r="H1" s="623"/>
      <c r="I1" s="623"/>
      <c r="J1" s="623"/>
      <c r="K1" s="623"/>
      <c r="L1" s="624"/>
    </row>
    <row r="2" spans="1:20" ht="35.1" customHeight="1" x14ac:dyDescent="0.2">
      <c r="A2" s="607"/>
      <c r="B2" s="608"/>
      <c r="C2" s="625"/>
      <c r="D2" s="626"/>
      <c r="E2" s="626"/>
      <c r="F2" s="626"/>
      <c r="G2" s="626"/>
      <c r="H2" s="626"/>
      <c r="I2" s="626"/>
      <c r="J2" s="626"/>
      <c r="K2" s="626"/>
      <c r="L2" s="627"/>
    </row>
    <row r="3" spans="1:20" ht="35.1" customHeight="1" x14ac:dyDescent="0.2">
      <c r="A3" s="609"/>
      <c r="B3" s="610"/>
      <c r="C3" s="628"/>
      <c r="D3" s="629"/>
      <c r="E3" s="629"/>
      <c r="F3" s="629"/>
      <c r="G3" s="629"/>
      <c r="H3" s="629"/>
      <c r="I3" s="629"/>
      <c r="J3" s="629"/>
      <c r="K3" s="629"/>
      <c r="L3" s="630"/>
    </row>
    <row r="4" spans="1:20" s="99" customFormat="1" ht="15" customHeight="1" thickBot="1" x14ac:dyDescent="0.25">
      <c r="A4" s="96"/>
      <c r="B4" s="96"/>
      <c r="C4" s="96"/>
      <c r="D4" s="96"/>
      <c r="E4" s="96"/>
      <c r="F4" s="96"/>
      <c r="G4" s="96"/>
      <c r="H4" s="96"/>
      <c r="I4" s="96"/>
      <c r="J4" s="96"/>
      <c r="K4" s="97"/>
      <c r="L4" s="98"/>
    </row>
    <row r="5" spans="1:20" ht="44.25" customHeight="1" thickBot="1" x14ac:dyDescent="0.25">
      <c r="B5" s="263" t="s">
        <v>7</v>
      </c>
      <c r="C5" s="264" t="s">
        <v>189</v>
      </c>
      <c r="D5" s="264" t="s">
        <v>398</v>
      </c>
      <c r="E5" s="264" t="s">
        <v>374</v>
      </c>
      <c r="F5" s="264" t="s">
        <v>375</v>
      </c>
      <c r="G5" s="265" t="s">
        <v>8</v>
      </c>
      <c r="H5" s="265" t="s">
        <v>79</v>
      </c>
      <c r="I5" s="266" t="s">
        <v>377</v>
      </c>
      <c r="J5" s="636"/>
      <c r="L5" s="101"/>
    </row>
    <row r="6" spans="1:20" ht="35.1" customHeight="1" thickBot="1" x14ac:dyDescent="0.25">
      <c r="A6" s="102"/>
      <c r="B6" s="259" t="e">
        <f>VLOOKUP($J$5,DATOS!$C$7:$K$22,2,FALSE)</f>
        <v>#N/A</v>
      </c>
      <c r="C6" s="259" t="e">
        <f>VLOOKUP($J$5,DATOS!$C$7:$K$22,3,FALSE)</f>
        <v>#N/A</v>
      </c>
      <c r="D6" s="259" t="e">
        <f>VLOOKUP($J$5,DATOS!$C$7:$K$22,4,FALSE)</f>
        <v>#N/A</v>
      </c>
      <c r="E6" s="259" t="e">
        <f>VLOOKUP($J$5,DATOS!$C$7:$K$22,5,FALSE)</f>
        <v>#N/A</v>
      </c>
      <c r="F6" s="259" t="e">
        <f>VLOOKUP($J$5,DATOS!$C$7:$K$22,6,FALSE)</f>
        <v>#N/A</v>
      </c>
      <c r="G6" s="259" t="e">
        <f>VLOOKUP($J$5,DATOS!$C$7:$K$22,7,FALSE)</f>
        <v>#N/A</v>
      </c>
      <c r="H6" s="259" t="e">
        <f>VLOOKUP($J$5,DATOS!$C$7:$K$22,8,FALSE)</f>
        <v>#N/A</v>
      </c>
      <c r="I6" s="259" t="e">
        <f>VLOOKUP($J$5,DATOS!$C$7:$K$22,9,FALSE)</f>
        <v>#N/A</v>
      </c>
      <c r="J6" s="637"/>
      <c r="L6" s="101"/>
    </row>
    <row r="7" spans="1:20" ht="9.9499999999999993" customHeight="1" thickBot="1" x14ac:dyDescent="0.25">
      <c r="B7" s="103"/>
      <c r="C7" s="104"/>
      <c r="D7" s="105"/>
      <c r="E7" s="104"/>
      <c r="F7" s="103"/>
      <c r="G7" s="106"/>
      <c r="H7" s="107"/>
      <c r="I7" s="103"/>
      <c r="J7" s="104"/>
      <c r="K7" s="104"/>
      <c r="L7" s="101"/>
    </row>
    <row r="8" spans="1:20" ht="35.1" customHeight="1" thickBot="1" x14ac:dyDescent="0.25">
      <c r="B8" s="578" t="s">
        <v>378</v>
      </c>
      <c r="C8" s="579"/>
      <c r="D8" s="579"/>
      <c r="E8" s="580"/>
      <c r="F8" s="279"/>
      <c r="G8" s="108"/>
      <c r="H8" s="108"/>
      <c r="I8" s="108"/>
      <c r="J8" s="108"/>
      <c r="K8" s="108"/>
      <c r="L8" s="108"/>
    </row>
    <row r="9" spans="1:20" ht="35.1" customHeight="1" thickBot="1" x14ac:dyDescent="0.25">
      <c r="B9" s="634" t="s">
        <v>3</v>
      </c>
      <c r="C9" s="634"/>
      <c r="D9" s="278" t="e">
        <f>VLOOKUP($F$8,DATOS!$C$16:$L$22,2,FALSE)</f>
        <v>#N/A</v>
      </c>
      <c r="E9" s="446"/>
      <c r="F9" s="109"/>
      <c r="G9" s="581" t="s">
        <v>343</v>
      </c>
      <c r="H9" s="582"/>
      <c r="I9" s="582"/>
      <c r="J9" s="617"/>
      <c r="K9" s="108"/>
      <c r="L9" s="108"/>
    </row>
    <row r="10" spans="1:20" ht="35.1" customHeight="1" thickBot="1" x14ac:dyDescent="0.25">
      <c r="B10" s="615" t="s">
        <v>9</v>
      </c>
      <c r="C10" s="615"/>
      <c r="D10" s="278" t="e">
        <f>VLOOKUP($F$8,DATOS!$C$16:$L$22,3,FALSE)</f>
        <v>#N/A</v>
      </c>
      <c r="E10" s="446"/>
      <c r="F10" s="109"/>
      <c r="G10" s="592" t="s">
        <v>345</v>
      </c>
      <c r="H10" s="592"/>
      <c r="I10" s="591" t="e">
        <f>VLOOKUP($K$10,DATOS!$B$27:$Q$84,1,FALSE)</f>
        <v>#N/A</v>
      </c>
      <c r="J10" s="591"/>
      <c r="K10" s="280"/>
      <c r="L10" s="108"/>
      <c r="M10" s="110"/>
      <c r="N10" s="110"/>
      <c r="O10" s="110"/>
      <c r="P10" s="110"/>
    </row>
    <row r="11" spans="1:20" ht="35.1" customHeight="1" x14ac:dyDescent="0.2">
      <c r="B11" s="615" t="s">
        <v>1</v>
      </c>
      <c r="C11" s="615"/>
      <c r="D11" s="278" t="e">
        <f>VLOOKUP($F$8,DATOS!$C$16:$L$22,4,FALSE)</f>
        <v>#N/A</v>
      </c>
      <c r="E11" s="446"/>
      <c r="F11" s="109"/>
      <c r="G11" s="615" t="s">
        <v>3</v>
      </c>
      <c r="H11" s="615"/>
      <c r="I11" s="618" t="e">
        <f>VLOOKUP($K$10,DATOS!$B$27:$R$84,4,FALSE)</f>
        <v>#N/A</v>
      </c>
      <c r="J11" s="619"/>
      <c r="K11" s="108"/>
      <c r="L11" s="108"/>
      <c r="P11" s="110"/>
    </row>
    <row r="12" spans="1:20" s="110" customFormat="1" ht="35.1" customHeight="1" x14ac:dyDescent="0.2">
      <c r="B12" s="615" t="s">
        <v>45</v>
      </c>
      <c r="C12" s="616"/>
      <c r="D12" s="278" t="e">
        <f>VLOOKUP($F$8,DATOS!$C$16:$L$22,5,FALSE)</f>
        <v>#N/A</v>
      </c>
      <c r="E12" s="446"/>
      <c r="F12" s="111"/>
      <c r="G12" s="615" t="s">
        <v>0</v>
      </c>
      <c r="H12" s="615"/>
      <c r="I12" s="618" t="e">
        <f>VLOOKUP($K$10,DATOS!$B$27:$R$84,3,FALSE)</f>
        <v>#N/A</v>
      </c>
      <c r="J12" s="619"/>
      <c r="K12" s="104"/>
      <c r="L12" s="112"/>
      <c r="Q12" s="95"/>
      <c r="R12" s="95"/>
      <c r="S12" s="95"/>
      <c r="T12" s="95"/>
    </row>
    <row r="13" spans="1:20" s="110" customFormat="1" ht="35.1" customHeight="1" x14ac:dyDescent="0.2">
      <c r="B13" s="616" t="s">
        <v>48</v>
      </c>
      <c r="C13" s="635"/>
      <c r="D13" s="278" t="e">
        <f>VLOOKUP($F$8,DATOS!$C$16:$L$22,6,FALSE)</f>
        <v>#N/A</v>
      </c>
      <c r="E13" s="446"/>
      <c r="F13" s="111"/>
      <c r="G13" s="615" t="s">
        <v>2</v>
      </c>
      <c r="H13" s="615"/>
      <c r="I13" s="618" t="e">
        <f>VLOOKUP($K$10,DATOS!$B$27:$R$84,7,FALSE)</f>
        <v>#N/A</v>
      </c>
      <c r="J13" s="619"/>
      <c r="K13" s="104"/>
      <c r="L13" s="112"/>
    </row>
    <row r="14" spans="1:20" s="110" customFormat="1" ht="35.1" customHeight="1" x14ac:dyDescent="0.2">
      <c r="B14" s="620" t="s">
        <v>399</v>
      </c>
      <c r="C14" s="621"/>
      <c r="D14" s="278" t="e">
        <f>VLOOKUP($F$8,DATOS!$C$16:$L$22,7,FALSE)</f>
        <v>#N/A</v>
      </c>
      <c r="E14" s="446"/>
      <c r="F14" s="111"/>
      <c r="G14" s="615" t="s">
        <v>307</v>
      </c>
      <c r="H14" s="615"/>
      <c r="I14" s="632" t="e">
        <f>VLOOKUP($K$10,DATOS!$B$27:$R$84,8,FALSE)</f>
        <v>#N/A</v>
      </c>
      <c r="J14" s="633"/>
      <c r="K14" s="104"/>
      <c r="L14" s="112"/>
    </row>
    <row r="15" spans="1:20" s="110" customFormat="1" ht="35.1" customHeight="1" x14ac:dyDescent="0.2">
      <c r="B15" s="620" t="s">
        <v>392</v>
      </c>
      <c r="C15" s="621"/>
      <c r="D15" s="278" t="e">
        <f>VLOOKUP($F$8,DATOS!$C$16:$L$22,8,FALSE)</f>
        <v>#N/A</v>
      </c>
      <c r="E15" s="446"/>
      <c r="F15" s="111"/>
      <c r="G15" s="615" t="s">
        <v>128</v>
      </c>
      <c r="H15" s="615"/>
      <c r="I15" s="618" t="e">
        <f>VLOOKUP($K$10,DATOS!$B$27:$R$84,17,FALSE)</f>
        <v>#N/A</v>
      </c>
      <c r="J15" s="619"/>
      <c r="K15" s="104"/>
      <c r="L15" s="104"/>
    </row>
    <row r="16" spans="1:20" s="110" customFormat="1" ht="9.9499999999999993" customHeight="1" thickBot="1" x14ac:dyDescent="0.3">
      <c r="B16" s="113"/>
      <c r="C16" s="113"/>
      <c r="D16" s="113"/>
      <c r="E16" s="113"/>
      <c r="F16" s="113"/>
      <c r="G16" s="114"/>
      <c r="H16" s="114"/>
      <c r="I16" s="115"/>
      <c r="J16" s="113"/>
      <c r="K16" s="104"/>
      <c r="L16" s="104"/>
    </row>
    <row r="17" spans="1:12" s="110" customFormat="1" ht="35.1" customHeight="1" thickBot="1" x14ac:dyDescent="0.3">
      <c r="B17" s="581" t="s">
        <v>10</v>
      </c>
      <c r="C17" s="582"/>
      <c r="D17" s="579"/>
      <c r="E17" s="579"/>
      <c r="F17" s="579"/>
      <c r="G17" s="579"/>
      <c r="H17" s="579"/>
      <c r="I17" s="579"/>
      <c r="J17" s="580"/>
      <c r="K17" s="104"/>
      <c r="L17" s="104"/>
    </row>
    <row r="18" spans="1:12" s="110" customFormat="1" ht="35.1" customHeight="1" thickBot="1" x14ac:dyDescent="0.3">
      <c r="B18" s="593" t="s">
        <v>108</v>
      </c>
      <c r="C18" s="593"/>
      <c r="D18" s="116"/>
      <c r="E18" s="117"/>
      <c r="F18" s="118"/>
      <c r="G18" s="597" t="s">
        <v>393</v>
      </c>
      <c r="H18" s="597"/>
      <c r="I18" s="597"/>
      <c r="J18" s="597"/>
      <c r="K18" s="104"/>
      <c r="L18" s="104"/>
    </row>
    <row r="19" spans="1:12" s="110" customFormat="1" ht="35.1" customHeight="1" thickBot="1" x14ac:dyDescent="0.3">
      <c r="B19" s="593"/>
      <c r="C19" s="593"/>
      <c r="D19" s="119"/>
      <c r="E19" s="281"/>
      <c r="F19" s="120"/>
      <c r="G19" s="598" t="s">
        <v>110</v>
      </c>
      <c r="H19" s="598" t="s">
        <v>167</v>
      </c>
      <c r="I19" s="598" t="s">
        <v>12</v>
      </c>
      <c r="J19" s="598" t="s">
        <v>394</v>
      </c>
      <c r="K19" s="104"/>
      <c r="L19" s="104"/>
    </row>
    <row r="20" spans="1:12" s="110" customFormat="1" ht="35.1" customHeight="1" thickBot="1" x14ac:dyDescent="0.3">
      <c r="B20" s="593"/>
      <c r="C20" s="593"/>
      <c r="D20" s="121"/>
      <c r="E20" s="122"/>
      <c r="F20" s="122"/>
      <c r="G20" s="598"/>
      <c r="H20" s="598"/>
      <c r="I20" s="598"/>
      <c r="J20" s="598"/>
      <c r="K20" s="104"/>
      <c r="L20" s="104"/>
    </row>
    <row r="21" spans="1:12" s="110" customFormat="1" ht="35.1" customHeight="1" thickBot="1" x14ac:dyDescent="0.3">
      <c r="B21" s="593" t="s">
        <v>11</v>
      </c>
      <c r="C21" s="593"/>
      <c r="D21" s="123"/>
      <c r="E21" s="123"/>
      <c r="F21" s="124"/>
      <c r="G21" s="262" t="e">
        <f>VLOOKUP($K$21,DATOS!$C$27:$R$84,8,FALSE)</f>
        <v>#N/A</v>
      </c>
      <c r="H21" s="262" t="e">
        <f>VLOOKUP($K$21,DATOS!$C$27:$R$84,12,FALSE)</f>
        <v>#N/A</v>
      </c>
      <c r="I21" s="262" t="e">
        <f>VLOOKUP($K$21,DATOS!$C$27:$R$84,13,FALSE)</f>
        <v>#N/A</v>
      </c>
      <c r="J21" s="262" t="e">
        <f>VLOOKUP($K$21,DATOS!$C$27:$R$84,5,FALSE)</f>
        <v>#N/A</v>
      </c>
      <c r="K21" s="283"/>
      <c r="L21" s="104"/>
    </row>
    <row r="22" spans="1:12" s="110" customFormat="1" ht="35.1" customHeight="1" thickBot="1" x14ac:dyDescent="0.3">
      <c r="B22" s="593"/>
      <c r="C22" s="594"/>
      <c r="D22" s="282"/>
      <c r="E22" s="282"/>
      <c r="F22" s="282"/>
      <c r="G22" s="262" t="e">
        <f>VLOOKUP($K$22,DATOS!$C$27:$R$84,8,FALSE)</f>
        <v>#N/A</v>
      </c>
      <c r="H22" s="262" t="e">
        <f>VLOOKUP($K$22,DATOS!$C$27:$R$84,12,FALSE)</f>
        <v>#N/A</v>
      </c>
      <c r="I22" s="262" t="e">
        <f>VLOOKUP($K$22,DATOS!$C$27:$R$84,13,FALSE)</f>
        <v>#N/A</v>
      </c>
      <c r="J22" s="262" t="e">
        <f>VLOOKUP($K$22,DATOS!$C$27:$R$84,5,FALSE)</f>
        <v>#N/A</v>
      </c>
      <c r="K22" s="283"/>
      <c r="L22" s="104"/>
    </row>
    <row r="23" spans="1:12" s="110" customFormat="1" ht="35.1" customHeight="1" thickBot="1" x14ac:dyDescent="0.3">
      <c r="A23" s="113"/>
      <c r="B23" s="593"/>
      <c r="C23" s="593"/>
      <c r="D23" s="125"/>
      <c r="E23" s="126"/>
      <c r="F23" s="125"/>
      <c r="G23" s="262" t="e">
        <f>VLOOKUP($K$23,DATOS!$C$27:$R$84,8,FALSE)</f>
        <v>#N/A</v>
      </c>
      <c r="H23" s="262" t="e">
        <f>VLOOKUP($K$23,DATOS!$C$27:$R$84,12,FALSE)</f>
        <v>#N/A</v>
      </c>
      <c r="I23" s="262" t="e">
        <f>VLOOKUP($K$23,DATOS!$C$27:$R$84,13,FALSE)</f>
        <v>#N/A</v>
      </c>
      <c r="J23" s="262" t="e">
        <f>VLOOKUP($K$23,DATOS!$C$27:$R$84,5,FALSE)</f>
        <v>#N/A</v>
      </c>
      <c r="K23" s="283"/>
      <c r="L23" s="104"/>
    </row>
    <row r="24" spans="1:12" s="110" customFormat="1" ht="35.1" customHeight="1" thickBot="1" x14ac:dyDescent="0.3">
      <c r="A24" s="113"/>
      <c r="C24" s="595" t="s">
        <v>325</v>
      </c>
      <c r="D24" s="596"/>
      <c r="E24" s="284"/>
      <c r="G24" s="262" t="e">
        <f>VLOOKUP($K$24,DATOS!$C$27:$R$84,8,FALSE)</f>
        <v>#N/A</v>
      </c>
      <c r="H24" s="262" t="e">
        <f>VLOOKUP($K$24,DATOS!$C$27:$R$84,12,FALSE)</f>
        <v>#N/A</v>
      </c>
      <c r="I24" s="262" t="e">
        <f>VLOOKUP($K$24,DATOS!$C$27:$R$84,13,FALSE)</f>
        <v>#N/A</v>
      </c>
      <c r="J24" s="262" t="e">
        <f>VLOOKUP($K$24,DATOS!$C$27:$R$84,5,FALSE)</f>
        <v>#N/A</v>
      </c>
      <c r="K24" s="283"/>
      <c r="L24" s="104"/>
    </row>
    <row r="25" spans="1:12" s="110" customFormat="1" ht="35.1" customHeight="1" x14ac:dyDescent="0.25">
      <c r="A25" s="127"/>
      <c r="B25" s="128" t="s">
        <v>342</v>
      </c>
      <c r="C25" s="128" t="s">
        <v>168</v>
      </c>
      <c r="D25" s="129" t="s">
        <v>59</v>
      </c>
      <c r="E25" s="130" t="s">
        <v>193</v>
      </c>
      <c r="G25" s="262" t="e">
        <f>G22+G23+G24+B26</f>
        <v>#N/A</v>
      </c>
      <c r="H25" s="262" t="e">
        <f t="shared" ref="H25:I25" si="0">H22+H23+H24+C26</f>
        <v>#N/A</v>
      </c>
      <c r="I25" s="262" t="e">
        <f t="shared" si="0"/>
        <v>#N/A</v>
      </c>
      <c r="J25" s="262" t="e">
        <f>VLOOKUP($K$24,DATOS!$C$27:$R$84,5,FALSE)</f>
        <v>#N/A</v>
      </c>
      <c r="K25" s="104"/>
      <c r="L25" s="104"/>
    </row>
    <row r="26" spans="1:12" s="110" customFormat="1" ht="35.1" customHeight="1" x14ac:dyDescent="0.25">
      <c r="A26" s="113"/>
      <c r="B26" s="262" t="e">
        <f>VLOOKUP($E$24,DATOS!$C$27:$R$84,8,FALSE)</f>
        <v>#N/A</v>
      </c>
      <c r="C26" s="262" t="e">
        <f>VLOOKUP($E$24,DATOS!$C$27:$R$84,12,FALSE)</f>
        <v>#N/A</v>
      </c>
      <c r="D26" s="262" t="e">
        <f>VLOOKUP($E$24,DATOS!$C$27:$R$84,13,FALSE)</f>
        <v>#N/A</v>
      </c>
      <c r="E26" s="262" t="e">
        <f>VLOOKUP($E$24,DATOS!$C$27:$R$84,5,FALSE)</f>
        <v>#N/A</v>
      </c>
      <c r="F26" s="131" t="s">
        <v>126</v>
      </c>
      <c r="G26" s="132">
        <f>5-2</f>
        <v>3</v>
      </c>
      <c r="H26" s="104"/>
    </row>
    <row r="27" spans="1:12" s="110" customFormat="1" ht="9.9499999999999993" customHeight="1" thickBot="1" x14ac:dyDescent="0.3">
      <c r="A27" s="113"/>
      <c r="B27" s="115"/>
      <c r="C27" s="115"/>
      <c r="D27" s="115"/>
      <c r="E27" s="115"/>
      <c r="F27" s="115"/>
      <c r="G27" s="115"/>
      <c r="H27" s="115"/>
      <c r="I27" s="133"/>
      <c r="L27" s="104"/>
    </row>
    <row r="28" spans="1:12" ht="35.1" customHeight="1" thickBot="1" x14ac:dyDescent="0.25">
      <c r="A28" s="100"/>
      <c r="B28" s="578" t="s">
        <v>61</v>
      </c>
      <c r="C28" s="579"/>
      <c r="D28" s="579"/>
      <c r="E28" s="579"/>
      <c r="F28" s="579"/>
      <c r="G28" s="579"/>
      <c r="H28" s="579"/>
      <c r="I28" s="580"/>
      <c r="J28" s="110"/>
      <c r="K28" s="134" t="s">
        <v>129</v>
      </c>
      <c r="L28" s="104"/>
    </row>
    <row r="29" spans="1:12" ht="35.1" customHeight="1" thickBot="1" x14ac:dyDescent="0.25">
      <c r="A29" s="135"/>
      <c r="B29" s="136" t="s">
        <v>62</v>
      </c>
      <c r="C29" s="285"/>
      <c r="D29" s="137" t="s">
        <v>6</v>
      </c>
      <c r="E29" s="286"/>
      <c r="F29" s="138" t="s">
        <v>4</v>
      </c>
      <c r="G29" s="286"/>
      <c r="H29" s="136" t="s">
        <v>5</v>
      </c>
      <c r="I29" s="287"/>
      <c r="J29" s="110"/>
      <c r="K29" s="139" t="s">
        <v>53</v>
      </c>
      <c r="L29" s="140">
        <v>2</v>
      </c>
    </row>
    <row r="30" spans="1:12" ht="9.9499999999999993" customHeight="1" thickBot="1" x14ac:dyDescent="0.25">
      <c r="K30" s="95"/>
    </row>
    <row r="31" spans="1:12" ht="35.1" customHeight="1" thickBot="1" x14ac:dyDescent="0.25">
      <c r="A31" s="100"/>
      <c r="B31" s="578" t="s">
        <v>13</v>
      </c>
      <c r="C31" s="579"/>
      <c r="D31" s="579"/>
      <c r="E31" s="579"/>
      <c r="F31" s="579"/>
      <c r="G31" s="580"/>
    </row>
    <row r="32" spans="1:12" ht="35.1" customHeight="1" x14ac:dyDescent="0.2">
      <c r="A32" s="100"/>
      <c r="C32" s="136" t="s">
        <v>55</v>
      </c>
      <c r="D32" s="136" t="s">
        <v>54</v>
      </c>
      <c r="E32" s="141">
        <f>E19</f>
        <v>0</v>
      </c>
      <c r="F32" s="136" t="s">
        <v>47</v>
      </c>
      <c r="G32" s="141">
        <f>E32*1000</f>
        <v>0</v>
      </c>
    </row>
    <row r="33" spans="1:11" ht="35.1" customHeight="1" x14ac:dyDescent="0.2">
      <c r="A33" s="100"/>
      <c r="B33" s="142" t="s">
        <v>14</v>
      </c>
      <c r="C33" s="143">
        <v>1</v>
      </c>
      <c r="D33" s="143">
        <v>2</v>
      </c>
      <c r="E33" s="143">
        <v>3</v>
      </c>
      <c r="F33" s="143">
        <v>4</v>
      </c>
      <c r="G33" s="143">
        <v>5</v>
      </c>
    </row>
    <row r="34" spans="1:11" ht="35.1" customHeight="1" x14ac:dyDescent="0.2">
      <c r="A34" s="100"/>
      <c r="B34" s="144" t="s">
        <v>395</v>
      </c>
      <c r="C34" s="288"/>
      <c r="D34" s="288"/>
      <c r="E34" s="288"/>
      <c r="F34" s="288"/>
      <c r="G34" s="288"/>
    </row>
    <row r="35" spans="1:11" ht="35.1" customHeight="1" x14ac:dyDescent="0.2">
      <c r="A35" s="100"/>
      <c r="B35" s="144" t="s">
        <v>15</v>
      </c>
      <c r="C35" s="145">
        <f>$C$34-C34</f>
        <v>0</v>
      </c>
      <c r="D35" s="145">
        <f t="shared" ref="D35:G35" si="1">$C$34-D34</f>
        <v>0</v>
      </c>
      <c r="E35" s="145">
        <f t="shared" si="1"/>
        <v>0</v>
      </c>
      <c r="F35" s="145">
        <f>$C$34-F34</f>
        <v>0</v>
      </c>
      <c r="G35" s="145">
        <f t="shared" si="1"/>
        <v>0</v>
      </c>
    </row>
    <row r="36" spans="1:11" ht="35.1" customHeight="1" x14ac:dyDescent="0.2">
      <c r="A36" s="100"/>
      <c r="B36" s="144" t="s">
        <v>46</v>
      </c>
      <c r="C36" s="145">
        <f>ABS(C35)</f>
        <v>0</v>
      </c>
      <c r="D36" s="145">
        <f t="shared" ref="D36:G36" si="2">ABS(D35)</f>
        <v>0</v>
      </c>
      <c r="E36" s="145">
        <f t="shared" si="2"/>
        <v>0</v>
      </c>
      <c r="F36" s="145">
        <f t="shared" si="2"/>
        <v>0</v>
      </c>
      <c r="G36" s="145">
        <f t="shared" si="2"/>
        <v>0</v>
      </c>
    </row>
    <row r="37" spans="1:11" ht="35.1" customHeight="1" x14ac:dyDescent="0.25">
      <c r="A37" s="100"/>
      <c r="B37" s="146" t="s">
        <v>47</v>
      </c>
      <c r="C37" s="147">
        <f>MAX(C36:G36)*1000</f>
        <v>0</v>
      </c>
      <c r="D37" s="148"/>
      <c r="E37" s="148"/>
      <c r="F37" s="148"/>
      <c r="G37" s="148"/>
    </row>
    <row r="38" spans="1:11" ht="9.9499999999999993" customHeight="1" thickBot="1" x14ac:dyDescent="0.25">
      <c r="A38" s="100"/>
    </row>
    <row r="39" spans="1:11" ht="35.1" customHeight="1" thickBot="1" x14ac:dyDescent="0.25">
      <c r="B39" s="578" t="s">
        <v>16</v>
      </c>
      <c r="C39" s="579"/>
      <c r="D39" s="579"/>
      <c r="E39" s="579"/>
      <c r="F39" s="579"/>
      <c r="G39" s="579"/>
      <c r="H39" s="579"/>
      <c r="I39" s="579"/>
      <c r="J39" s="580"/>
    </row>
    <row r="40" spans="1:11" s="149" customFormat="1" ht="35.1" customHeight="1" x14ac:dyDescent="0.2">
      <c r="B40" s="611" t="s">
        <v>19</v>
      </c>
      <c r="C40" s="611"/>
      <c r="D40" s="611"/>
      <c r="E40" s="611"/>
      <c r="F40" s="611"/>
      <c r="G40" s="611"/>
      <c r="H40" s="611"/>
      <c r="I40" s="611"/>
      <c r="J40" s="611"/>
      <c r="K40" s="128" t="s">
        <v>50</v>
      </c>
    </row>
    <row r="41" spans="1:11" ht="35.1" customHeight="1" x14ac:dyDescent="0.2">
      <c r="A41" s="128" t="s">
        <v>17</v>
      </c>
      <c r="B41" s="150">
        <v>1</v>
      </c>
      <c r="C41" s="150">
        <v>2</v>
      </c>
      <c r="D41" s="150">
        <v>3</v>
      </c>
      <c r="E41" s="150">
        <v>4</v>
      </c>
      <c r="F41" s="150">
        <v>5</v>
      </c>
      <c r="G41" s="150">
        <v>6</v>
      </c>
      <c r="H41" s="150">
        <v>7</v>
      </c>
      <c r="I41" s="150">
        <v>8</v>
      </c>
      <c r="J41" s="150">
        <v>9</v>
      </c>
      <c r="K41" s="151">
        <v>10</v>
      </c>
    </row>
    <row r="42" spans="1:11" ht="35.1" customHeight="1" x14ac:dyDescent="0.2">
      <c r="A42" s="152">
        <f>D22</f>
        <v>0</v>
      </c>
      <c r="B42" s="288"/>
      <c r="C42" s="288"/>
      <c r="D42" s="288"/>
      <c r="E42" s="288"/>
      <c r="F42" s="288"/>
      <c r="G42" s="288"/>
      <c r="H42" s="288"/>
      <c r="I42" s="288"/>
      <c r="J42" s="288"/>
      <c r="K42" s="288"/>
    </row>
    <row r="43" spans="1:11" ht="35.1" customHeight="1" x14ac:dyDescent="0.2">
      <c r="A43" s="152">
        <f>E22</f>
        <v>0</v>
      </c>
      <c r="B43" s="288"/>
      <c r="C43" s="288"/>
      <c r="D43" s="288"/>
      <c r="E43" s="288"/>
      <c r="F43" s="288"/>
      <c r="G43" s="288"/>
      <c r="H43" s="288"/>
      <c r="I43" s="288"/>
      <c r="J43" s="288"/>
      <c r="K43" s="288"/>
    </row>
    <row r="44" spans="1:11" ht="35.1" customHeight="1" x14ac:dyDescent="0.2">
      <c r="A44" s="152">
        <f>F22</f>
        <v>0</v>
      </c>
      <c r="B44" s="288"/>
      <c r="C44" s="288"/>
      <c r="D44" s="288"/>
      <c r="E44" s="288"/>
      <c r="F44" s="288"/>
      <c r="G44" s="288"/>
      <c r="H44" s="288"/>
      <c r="I44" s="288"/>
      <c r="J44" s="288"/>
      <c r="K44" s="288"/>
    </row>
    <row r="45" spans="1:11" ht="35.1" customHeight="1" x14ac:dyDescent="0.2">
      <c r="B45" s="128" t="s">
        <v>17</v>
      </c>
      <c r="C45" s="128" t="s">
        <v>18</v>
      </c>
      <c r="D45" s="153" t="s">
        <v>66</v>
      </c>
      <c r="E45" s="153" t="s">
        <v>65</v>
      </c>
      <c r="F45" s="153" t="s">
        <v>396</v>
      </c>
      <c r="H45" s="95"/>
      <c r="J45" s="95"/>
      <c r="K45" s="154"/>
    </row>
    <row r="46" spans="1:11" ht="35.1" customHeight="1" x14ac:dyDescent="0.2">
      <c r="B46" s="128">
        <f>A42</f>
        <v>0</v>
      </c>
      <c r="C46" s="155" t="e">
        <f>AVERAGE(B42:K42)</f>
        <v>#DIV/0!</v>
      </c>
      <c r="D46" s="156" t="e">
        <f>_xlfn.STDEV.S(B42:K42)</f>
        <v>#DIV/0!</v>
      </c>
      <c r="E46" s="156" t="e">
        <f>D46*1000</f>
        <v>#DIV/0!</v>
      </c>
      <c r="F46" s="157" t="e">
        <f>MAX(E46:E48)</f>
        <v>#DIV/0!</v>
      </c>
      <c r="H46" s="95"/>
      <c r="I46" s="289"/>
      <c r="J46" s="101"/>
      <c r="K46" s="95"/>
    </row>
    <row r="47" spans="1:11" ht="35.1" customHeight="1" x14ac:dyDescent="0.2">
      <c r="B47" s="128">
        <f>A43</f>
        <v>0</v>
      </c>
      <c r="C47" s="155" t="e">
        <f t="shared" ref="C47:C48" si="3">AVERAGE(B43:K43)</f>
        <v>#DIV/0!</v>
      </c>
      <c r="D47" s="156" t="e">
        <f t="shared" ref="D47:D48" si="4">_xlfn.STDEV.S(B43:K43)</f>
        <v>#DIV/0!</v>
      </c>
      <c r="E47" s="156" t="e">
        <f t="shared" ref="E47:E48" si="5">D47*1000</f>
        <v>#DIV/0!</v>
      </c>
      <c r="H47" s="95"/>
      <c r="I47" s="95"/>
      <c r="J47" s="101"/>
      <c r="K47" s="95"/>
    </row>
    <row r="48" spans="1:11" ht="35.1" customHeight="1" x14ac:dyDescent="0.2">
      <c r="A48" s="100"/>
      <c r="B48" s="128">
        <f>A44</f>
        <v>0</v>
      </c>
      <c r="C48" s="155" t="e">
        <f t="shared" si="3"/>
        <v>#DIV/0!</v>
      </c>
      <c r="D48" s="156" t="e">
        <f t="shared" si="4"/>
        <v>#DIV/0!</v>
      </c>
      <c r="E48" s="156" t="e">
        <f t="shared" si="5"/>
        <v>#DIV/0!</v>
      </c>
      <c r="H48" s="95"/>
      <c r="I48" s="101"/>
      <c r="J48" s="101"/>
      <c r="K48" s="101"/>
    </row>
    <row r="49" spans="1:12" ht="9.9499999999999993" customHeight="1" thickBot="1" x14ac:dyDescent="0.25">
      <c r="A49" s="100"/>
      <c r="B49" s="95"/>
      <c r="C49" s="95"/>
      <c r="D49" s="95"/>
      <c r="E49" s="95"/>
      <c r="F49" s="95"/>
      <c r="G49" s="95"/>
      <c r="H49" s="95"/>
      <c r="I49" s="101"/>
      <c r="J49" s="101"/>
      <c r="K49" s="101"/>
    </row>
    <row r="50" spans="1:12" ht="35.1" customHeight="1" thickBot="1" x14ac:dyDescent="0.25">
      <c r="A50" s="100"/>
      <c r="B50" s="578" t="s">
        <v>22</v>
      </c>
      <c r="C50" s="579"/>
      <c r="D50" s="579"/>
      <c r="E50" s="579"/>
      <c r="F50" s="579"/>
      <c r="G50" s="579"/>
      <c r="H50" s="579"/>
      <c r="I50" s="579"/>
      <c r="J50" s="579"/>
      <c r="K50" s="579"/>
      <c r="L50" s="580"/>
    </row>
    <row r="51" spans="1:12" ht="35.1" customHeight="1" thickBot="1" x14ac:dyDescent="0.25">
      <c r="B51" s="578" t="s">
        <v>119</v>
      </c>
      <c r="C51" s="579"/>
      <c r="D51" s="579"/>
      <c r="E51" s="580"/>
      <c r="F51" s="158"/>
      <c r="G51" s="578" t="s">
        <v>120</v>
      </c>
      <c r="H51" s="579"/>
      <c r="I51" s="579"/>
      <c r="J51" s="579"/>
      <c r="K51" s="579"/>
      <c r="L51" s="580"/>
    </row>
    <row r="52" spans="1:12" ht="35.1" customHeight="1" x14ac:dyDescent="0.2">
      <c r="A52" s="100"/>
      <c r="B52" s="130" t="s">
        <v>17</v>
      </c>
      <c r="C52" s="159" t="s">
        <v>184</v>
      </c>
      <c r="D52" s="160" t="s">
        <v>35</v>
      </c>
      <c r="E52" s="160" t="s">
        <v>35</v>
      </c>
      <c r="F52" s="158"/>
      <c r="G52" s="159" t="s">
        <v>184</v>
      </c>
      <c r="H52" s="159" t="s">
        <v>397</v>
      </c>
      <c r="I52" s="159"/>
      <c r="J52" s="159"/>
      <c r="K52" s="160" t="s">
        <v>35</v>
      </c>
      <c r="L52" s="160" t="s">
        <v>35</v>
      </c>
    </row>
    <row r="53" spans="1:12" ht="35.1" customHeight="1" x14ac:dyDescent="0.2">
      <c r="A53" s="100"/>
      <c r="B53" s="161" t="e">
        <f>H21</f>
        <v>#N/A</v>
      </c>
      <c r="C53" s="288"/>
      <c r="D53" s="162" t="e">
        <f>C53-B53</f>
        <v>#N/A</v>
      </c>
      <c r="E53" s="157" t="e">
        <f>D53*1000</f>
        <v>#N/A</v>
      </c>
      <c r="F53" s="158"/>
      <c r="G53" s="288"/>
      <c r="H53" s="288"/>
      <c r="I53" s="163" t="e">
        <f>AVERAGE(G53:H53)</f>
        <v>#DIV/0!</v>
      </c>
      <c r="J53" s="155" t="e">
        <f>I53*1000</f>
        <v>#DIV/0!</v>
      </c>
      <c r="K53" s="162" t="e">
        <f>I53-B53</f>
        <v>#DIV/0!</v>
      </c>
      <c r="L53" s="273" t="e">
        <f>K53*1000</f>
        <v>#DIV/0!</v>
      </c>
    </row>
    <row r="54" spans="1:12" ht="35.1" customHeight="1" x14ac:dyDescent="0.2">
      <c r="A54" s="100"/>
      <c r="B54" s="164" t="e">
        <f t="shared" ref="B54:B57" si="6">H22</f>
        <v>#N/A</v>
      </c>
      <c r="C54" s="288"/>
      <c r="D54" s="162" t="e">
        <f t="shared" ref="D54:D57" si="7">C54-B54</f>
        <v>#N/A</v>
      </c>
      <c r="E54" s="157" t="e">
        <f t="shared" ref="E54:E57" si="8">D54*1000</f>
        <v>#N/A</v>
      </c>
      <c r="F54" s="158"/>
      <c r="G54" s="288"/>
      <c r="H54" s="288"/>
      <c r="I54" s="163" t="e">
        <f>AVERAGE(G54:H54)</f>
        <v>#DIV/0!</v>
      </c>
      <c r="J54" s="155" t="e">
        <f>I54*1000</f>
        <v>#DIV/0!</v>
      </c>
      <c r="K54" s="162" t="e">
        <f>I54-B54</f>
        <v>#DIV/0!</v>
      </c>
      <c r="L54" s="273" t="e">
        <f t="shared" ref="L54:L57" si="9">K54*1000</f>
        <v>#DIV/0!</v>
      </c>
    </row>
    <row r="55" spans="1:12" ht="35.1" customHeight="1" x14ac:dyDescent="0.2">
      <c r="A55" s="100"/>
      <c r="B55" s="164" t="e">
        <f t="shared" si="6"/>
        <v>#N/A</v>
      </c>
      <c r="C55" s="288"/>
      <c r="D55" s="162" t="e">
        <f t="shared" si="7"/>
        <v>#N/A</v>
      </c>
      <c r="E55" s="157" t="e">
        <f t="shared" si="8"/>
        <v>#N/A</v>
      </c>
      <c r="F55" s="158"/>
      <c r="G55" s="288"/>
      <c r="H55" s="288"/>
      <c r="I55" s="163" t="e">
        <f>AVERAGE(G55:H55)</f>
        <v>#DIV/0!</v>
      </c>
      <c r="J55" s="155" t="e">
        <f t="shared" ref="J55:J57" si="10">I55*1000</f>
        <v>#DIV/0!</v>
      </c>
      <c r="K55" s="162" t="e">
        <f>I55-B55</f>
        <v>#DIV/0!</v>
      </c>
      <c r="L55" s="274" t="e">
        <f t="shared" si="9"/>
        <v>#DIV/0!</v>
      </c>
    </row>
    <row r="56" spans="1:12" ht="35.1" customHeight="1" x14ac:dyDescent="0.2">
      <c r="A56" s="100"/>
      <c r="B56" s="164" t="e">
        <f t="shared" si="6"/>
        <v>#N/A</v>
      </c>
      <c r="C56" s="288"/>
      <c r="D56" s="162" t="e">
        <f t="shared" si="7"/>
        <v>#N/A</v>
      </c>
      <c r="E56" s="157" t="e">
        <f t="shared" si="8"/>
        <v>#N/A</v>
      </c>
      <c r="F56" s="158"/>
      <c r="G56" s="288"/>
      <c r="H56" s="288"/>
      <c r="I56" s="163" t="e">
        <f>AVERAGE(G56:H56)</f>
        <v>#DIV/0!</v>
      </c>
      <c r="J56" s="155" t="e">
        <f t="shared" si="10"/>
        <v>#DIV/0!</v>
      </c>
      <c r="K56" s="162" t="e">
        <f>I56-B56</f>
        <v>#DIV/0!</v>
      </c>
      <c r="L56" s="274" t="e">
        <f t="shared" si="9"/>
        <v>#DIV/0!</v>
      </c>
    </row>
    <row r="57" spans="1:12" ht="35.1" customHeight="1" x14ac:dyDescent="0.2">
      <c r="A57" s="100"/>
      <c r="B57" s="164" t="e">
        <f t="shared" si="6"/>
        <v>#N/A</v>
      </c>
      <c r="C57" s="288"/>
      <c r="D57" s="162" t="e">
        <f t="shared" si="7"/>
        <v>#N/A</v>
      </c>
      <c r="E57" s="157" t="e">
        <f t="shared" si="8"/>
        <v>#N/A</v>
      </c>
      <c r="F57" s="166"/>
      <c r="G57" s="288"/>
      <c r="H57" s="288"/>
      <c r="I57" s="163" t="e">
        <f t="shared" ref="I57" si="11">AVERAGE(G57:H57)</f>
        <v>#DIV/0!</v>
      </c>
      <c r="J57" s="155" t="e">
        <f t="shared" si="10"/>
        <v>#DIV/0!</v>
      </c>
      <c r="K57" s="162" t="e">
        <f>I57-B57</f>
        <v>#DIV/0!</v>
      </c>
      <c r="L57" s="274" t="e">
        <f t="shared" si="9"/>
        <v>#DIV/0!</v>
      </c>
    </row>
    <row r="58" spans="1:12" ht="9.9499999999999993" customHeight="1" thickBot="1" x14ac:dyDescent="0.25">
      <c r="A58" s="100"/>
      <c r="L58" s="100"/>
    </row>
    <row r="59" spans="1:12" ht="35.1" customHeight="1" thickBot="1" x14ac:dyDescent="0.25">
      <c r="A59" s="167"/>
      <c r="B59" s="578" t="s">
        <v>63</v>
      </c>
      <c r="C59" s="579"/>
      <c r="D59" s="579"/>
      <c r="E59" s="579"/>
      <c r="F59" s="579"/>
      <c r="G59" s="579"/>
      <c r="H59" s="579"/>
      <c r="I59" s="580"/>
      <c r="J59" s="284"/>
      <c r="K59" s="558" t="s">
        <v>337</v>
      </c>
      <c r="L59" s="560"/>
    </row>
    <row r="60" spans="1:12" ht="35.1" customHeight="1" thickBot="1" x14ac:dyDescent="0.25">
      <c r="A60" s="167"/>
      <c r="B60" s="136" t="s">
        <v>62</v>
      </c>
      <c r="C60" s="285"/>
      <c r="D60" s="137" t="s">
        <v>6</v>
      </c>
      <c r="E60" s="290"/>
      <c r="F60" s="138" t="s">
        <v>4</v>
      </c>
      <c r="G60" s="286"/>
      <c r="H60" s="136" t="s">
        <v>5</v>
      </c>
      <c r="I60" s="291"/>
      <c r="K60" s="260" t="e">
        <f>VLOOKUP($J$59,DATOS!$C$119:$G$123,2,FALSE)</f>
        <v>#N/A</v>
      </c>
      <c r="L60" s="261"/>
    </row>
    <row r="61" spans="1:12" ht="35.1" customHeight="1" x14ac:dyDescent="0.2">
      <c r="A61" s="167"/>
      <c r="B61" s="95"/>
      <c r="C61" s="147" t="s">
        <v>60</v>
      </c>
      <c r="D61" s="95"/>
      <c r="E61" s="168">
        <f>(E29+E60)/2</f>
        <v>0</v>
      </c>
      <c r="F61" s="169"/>
      <c r="G61" s="168">
        <f>(G29+G60)/2</f>
        <v>0</v>
      </c>
      <c r="H61" s="169"/>
      <c r="I61" s="168">
        <f>(I29+I60)/2</f>
        <v>0</v>
      </c>
    </row>
    <row r="62" spans="1:12" ht="9.9499999999999993" customHeight="1" thickBot="1" x14ac:dyDescent="0.25">
      <c r="A62" s="167"/>
      <c r="B62" s="167"/>
      <c r="C62" s="167"/>
      <c r="D62" s="167"/>
      <c r="E62" s="167"/>
      <c r="F62" s="167"/>
      <c r="G62" s="167"/>
      <c r="H62" s="167"/>
      <c r="I62" s="167"/>
    </row>
    <row r="63" spans="1:12" ht="35.1" customHeight="1" thickBot="1" x14ac:dyDescent="0.25">
      <c r="A63" s="578" t="s">
        <v>33</v>
      </c>
      <c r="B63" s="579"/>
      <c r="C63" s="579"/>
      <c r="D63" s="579"/>
      <c r="E63" s="579"/>
      <c r="F63" s="579"/>
      <c r="G63" s="579"/>
      <c r="H63" s="579"/>
      <c r="I63" s="579"/>
      <c r="J63" s="579"/>
      <c r="K63" s="579"/>
      <c r="L63" s="580"/>
    </row>
    <row r="64" spans="1:12" s="149" customFormat="1" ht="9.9499999999999993" customHeight="1" thickBot="1" x14ac:dyDescent="0.25"/>
    <row r="65" spans="1:15" ht="35.1" customHeight="1" thickBot="1" x14ac:dyDescent="0.25">
      <c r="B65" s="95"/>
      <c r="C65" s="95"/>
      <c r="D65" s="95"/>
      <c r="E65" s="95"/>
      <c r="F65" s="601" t="s">
        <v>27</v>
      </c>
      <c r="G65" s="602"/>
      <c r="H65" s="602"/>
      <c r="I65" s="602"/>
      <c r="J65" s="603"/>
      <c r="K65" s="95"/>
    </row>
    <row r="66" spans="1:15" s="101" customFormat="1" ht="35.1" customHeight="1" x14ac:dyDescent="0.2">
      <c r="D66" s="170"/>
      <c r="F66" s="171" t="e">
        <f>G21</f>
        <v>#N/A</v>
      </c>
      <c r="G66" s="171" t="e">
        <f>G22</f>
        <v>#N/A</v>
      </c>
      <c r="H66" s="171" t="e">
        <f>G23</f>
        <v>#N/A</v>
      </c>
      <c r="I66" s="171" t="e">
        <f>G24</f>
        <v>#N/A</v>
      </c>
      <c r="J66" s="171" t="e">
        <f>G25</f>
        <v>#N/A</v>
      </c>
      <c r="K66" s="95"/>
      <c r="L66" s="95"/>
      <c r="M66" s="95"/>
      <c r="N66" s="95"/>
      <c r="O66" s="95"/>
    </row>
    <row r="67" spans="1:15" s="149" customFormat="1" ht="9.9499999999999993" customHeight="1" thickBot="1" x14ac:dyDescent="0.25">
      <c r="L67" s="95"/>
      <c r="M67" s="95"/>
      <c r="N67" s="95"/>
      <c r="O67" s="95"/>
    </row>
    <row r="68" spans="1:15" ht="35.1" customHeight="1" thickBot="1" x14ac:dyDescent="0.25">
      <c r="B68" s="558" t="s">
        <v>32</v>
      </c>
      <c r="C68" s="559"/>
      <c r="D68" s="560"/>
      <c r="E68" s="149"/>
      <c r="F68" s="604" t="s">
        <v>49</v>
      </c>
      <c r="G68" s="604"/>
      <c r="H68" s="604"/>
      <c r="I68" s="604"/>
      <c r="J68" s="604"/>
      <c r="K68" s="172" t="s">
        <v>26</v>
      </c>
      <c r="L68" s="173" t="s">
        <v>121</v>
      </c>
    </row>
    <row r="69" spans="1:15" ht="35.1" customHeight="1" x14ac:dyDescent="0.2">
      <c r="A69" s="576" t="s">
        <v>20</v>
      </c>
      <c r="B69" s="587"/>
      <c r="C69" s="587"/>
      <c r="D69" s="587"/>
      <c r="E69" s="588"/>
      <c r="F69" s="174" t="e">
        <f>(J53*$C$37)/(2*$G$32*SQRT(3))</f>
        <v>#DIV/0!</v>
      </c>
      <c r="G69" s="174" t="e">
        <f>(J54*$C$37)/(2*$G$32*SQRT(3))</f>
        <v>#DIV/0!</v>
      </c>
      <c r="H69" s="174" t="e">
        <f>(J55*$C$37)/(2*$G$32*SQRT(3))</f>
        <v>#DIV/0!</v>
      </c>
      <c r="I69" s="174" t="e">
        <f>(J56*$C$37)/(2*$G$32*SQRT(3))</f>
        <v>#DIV/0!</v>
      </c>
      <c r="J69" s="174" t="e">
        <f>(J57*$C$37)/(2*$G$32*SQRT(3))</f>
        <v>#DIV/0!</v>
      </c>
      <c r="K69" s="175" t="s">
        <v>51</v>
      </c>
      <c r="L69" s="176">
        <v>100</v>
      </c>
    </row>
    <row r="70" spans="1:15" ht="35.1" customHeight="1" x14ac:dyDescent="0.2">
      <c r="A70" s="576" t="s">
        <v>21</v>
      </c>
      <c r="B70" s="577"/>
      <c r="C70" s="589"/>
      <c r="D70" s="589"/>
      <c r="E70" s="590"/>
      <c r="F70" s="174" t="e">
        <f>$F$46/SQRT($K$41)</f>
        <v>#DIV/0!</v>
      </c>
      <c r="G70" s="174" t="e">
        <f t="shared" ref="G70:J70" si="12">$F$46/SQRT($K$41)</f>
        <v>#DIV/0!</v>
      </c>
      <c r="H70" s="174" t="e">
        <f t="shared" si="12"/>
        <v>#DIV/0!</v>
      </c>
      <c r="I70" s="174" t="e">
        <f t="shared" si="12"/>
        <v>#DIV/0!</v>
      </c>
      <c r="J70" s="174" t="e">
        <f t="shared" si="12"/>
        <v>#DIV/0!</v>
      </c>
      <c r="K70" s="177" t="s">
        <v>52</v>
      </c>
      <c r="L70" s="178">
        <f>K41-1</f>
        <v>9</v>
      </c>
    </row>
    <row r="71" spans="1:15" ht="35.1" customHeight="1" x14ac:dyDescent="0.2">
      <c r="A71" s="576" t="s">
        <v>23</v>
      </c>
      <c r="B71" s="577"/>
      <c r="C71" s="569"/>
      <c r="D71" s="569"/>
      <c r="E71" s="569"/>
      <c r="F71" s="174" t="e">
        <f>($D$14*1000)/SQRT(6)</f>
        <v>#N/A</v>
      </c>
      <c r="G71" s="174" t="e">
        <f>($D$14*1000)/SQRT(6)</f>
        <v>#N/A</v>
      </c>
      <c r="H71" s="174" t="e">
        <f>($D$14*1000)/SQRT(6)</f>
        <v>#N/A</v>
      </c>
      <c r="I71" s="174" t="e">
        <f t="shared" ref="I71:J71" si="13">($D$14*1000)/SQRT(6)</f>
        <v>#N/A</v>
      </c>
      <c r="J71" s="174" t="e">
        <f t="shared" si="13"/>
        <v>#N/A</v>
      </c>
      <c r="K71" s="177" t="s">
        <v>51</v>
      </c>
      <c r="L71" s="178">
        <v>100</v>
      </c>
    </row>
    <row r="72" spans="1:15" ht="35.1" customHeight="1" thickBot="1" x14ac:dyDescent="0.25">
      <c r="A72" s="158"/>
      <c r="B72" s="158"/>
      <c r="C72" s="573"/>
      <c r="D72" s="574"/>
      <c r="E72" s="575"/>
      <c r="F72" s="179" t="e">
        <f>SQRT((F69)^2+(F70)^2+(F71)^2)</f>
        <v>#DIV/0!</v>
      </c>
      <c r="G72" s="179" t="e">
        <f t="shared" ref="G72:J72" si="14">SQRT((G69)^2+(G70)^2+(G71)^2)</f>
        <v>#DIV/0!</v>
      </c>
      <c r="H72" s="179" t="e">
        <f t="shared" si="14"/>
        <v>#DIV/0!</v>
      </c>
      <c r="I72" s="179" t="e">
        <f t="shared" si="14"/>
        <v>#DIV/0!</v>
      </c>
      <c r="J72" s="179" t="e">
        <f t="shared" si="14"/>
        <v>#DIV/0!</v>
      </c>
      <c r="K72" s="177" t="s">
        <v>52</v>
      </c>
      <c r="L72" s="101"/>
    </row>
    <row r="73" spans="1:15" ht="35.1" customHeight="1" thickBot="1" x14ac:dyDescent="0.25">
      <c r="A73" s="158"/>
      <c r="B73" s="158"/>
      <c r="C73" s="158"/>
      <c r="D73" s="158"/>
      <c r="F73" s="578" t="s">
        <v>118</v>
      </c>
      <c r="G73" s="579"/>
      <c r="H73" s="579"/>
      <c r="I73" s="579"/>
      <c r="J73" s="580"/>
      <c r="K73" s="95"/>
    </row>
    <row r="74" spans="1:15" ht="35.1" customHeight="1" x14ac:dyDescent="0.2">
      <c r="A74" s="576" t="s">
        <v>24</v>
      </c>
      <c r="B74" s="577"/>
      <c r="C74" s="571"/>
      <c r="D74" s="571"/>
      <c r="E74" s="572"/>
      <c r="F74" s="180" t="e">
        <f>I21/L29</f>
        <v>#N/A</v>
      </c>
      <c r="G74" s="180" t="e">
        <f>I22/L29</f>
        <v>#N/A</v>
      </c>
      <c r="H74" s="180" t="e">
        <f>I23/L29</f>
        <v>#N/A</v>
      </c>
      <c r="I74" s="180" t="e">
        <f>I24/L29</f>
        <v>#N/A</v>
      </c>
      <c r="J74" s="180" t="e">
        <f>I25/L29</f>
        <v>#N/A</v>
      </c>
      <c r="K74" s="155" t="s">
        <v>52</v>
      </c>
      <c r="L74" s="178">
        <v>100</v>
      </c>
    </row>
    <row r="75" spans="1:15" ht="35.1" customHeight="1" x14ac:dyDescent="0.2">
      <c r="A75" s="600" t="s">
        <v>25</v>
      </c>
      <c r="B75" s="600"/>
      <c r="C75" s="571"/>
      <c r="D75" s="571"/>
      <c r="E75" s="572"/>
      <c r="F75" s="181" t="e">
        <f>(3*I21)/(4*SQRT(3))</f>
        <v>#N/A</v>
      </c>
      <c r="G75" s="181" t="e">
        <f>(3*I22)/(4*SQRT(3))</f>
        <v>#N/A</v>
      </c>
      <c r="H75" s="181" t="e">
        <f>(3*I23)/(4*SQRT(3))</f>
        <v>#N/A</v>
      </c>
      <c r="I75" s="181" t="e">
        <f>(3*I24)/(4*SQRT(3))</f>
        <v>#N/A</v>
      </c>
      <c r="J75" s="181" t="e">
        <f>(3*I25)/(4*SQRT(3))</f>
        <v>#N/A</v>
      </c>
      <c r="K75" s="155" t="s">
        <v>51</v>
      </c>
      <c r="L75" s="176">
        <v>100</v>
      </c>
    </row>
    <row r="76" spans="1:15" ht="35.1" customHeight="1" x14ac:dyDescent="0.2">
      <c r="A76" s="576" t="s">
        <v>31</v>
      </c>
      <c r="B76" s="577"/>
      <c r="C76" s="571"/>
      <c r="D76" s="571"/>
      <c r="E76" s="572"/>
      <c r="F76" s="181" t="e">
        <f>I21/SQRT(3)</f>
        <v>#N/A</v>
      </c>
      <c r="G76" s="181" t="e">
        <f>I22/SQRT(3)</f>
        <v>#N/A</v>
      </c>
      <c r="H76" s="181" t="e">
        <f>I23/SQRT(3)</f>
        <v>#N/A</v>
      </c>
      <c r="I76" s="181" t="e">
        <f>I24/SQRT(3)</f>
        <v>#N/A</v>
      </c>
      <c r="J76" s="181" t="e">
        <f>I25/SQRT(3)</f>
        <v>#N/A</v>
      </c>
      <c r="K76" s="155" t="s">
        <v>51</v>
      </c>
      <c r="L76" s="178">
        <v>100</v>
      </c>
    </row>
    <row r="77" spans="1:15" ht="35.1" customHeight="1" thickBot="1" x14ac:dyDescent="0.25">
      <c r="C77" s="586"/>
      <c r="D77" s="586"/>
      <c r="E77" s="586"/>
      <c r="F77" s="182" t="e">
        <f>SQRT(F74^2+F75^2+F76^2)</f>
        <v>#N/A</v>
      </c>
      <c r="G77" s="182" t="e">
        <f t="shared" ref="G77:J77" si="15">SQRT(G74^2+G75^2+G76^2)</f>
        <v>#N/A</v>
      </c>
      <c r="H77" s="182" t="e">
        <f t="shared" si="15"/>
        <v>#N/A</v>
      </c>
      <c r="I77" s="182" t="e">
        <f t="shared" si="15"/>
        <v>#N/A</v>
      </c>
      <c r="J77" s="182" t="e">
        <f t="shared" si="15"/>
        <v>#N/A</v>
      </c>
      <c r="K77" s="155" t="s">
        <v>52</v>
      </c>
      <c r="L77" s="100"/>
    </row>
    <row r="78" spans="1:15" ht="35.1" customHeight="1" thickBot="1" x14ac:dyDescent="0.25">
      <c r="C78" s="95"/>
      <c r="D78" s="95"/>
      <c r="F78" s="578" t="s">
        <v>117</v>
      </c>
      <c r="G78" s="579"/>
      <c r="H78" s="579"/>
      <c r="I78" s="579"/>
      <c r="J78" s="580"/>
      <c r="K78" s="95"/>
    </row>
    <row r="79" spans="1:15" ht="35.1" customHeight="1" thickBot="1" x14ac:dyDescent="0.25">
      <c r="B79" s="95"/>
      <c r="C79" s="183"/>
      <c r="D79" s="184"/>
      <c r="E79" s="185"/>
      <c r="F79" s="186" t="e">
        <f>SQRT((F72)^2+(F77)^2)</f>
        <v>#DIV/0!</v>
      </c>
      <c r="G79" s="187" t="e">
        <f t="shared" ref="G79:J79" si="16">SQRT((G72)^2+(G77)^2)</f>
        <v>#DIV/0!</v>
      </c>
      <c r="H79" s="187" t="e">
        <f t="shared" si="16"/>
        <v>#DIV/0!</v>
      </c>
      <c r="I79" s="187" t="e">
        <f t="shared" si="16"/>
        <v>#DIV/0!</v>
      </c>
      <c r="J79" s="188" t="e">
        <f t="shared" si="16"/>
        <v>#DIV/0!</v>
      </c>
      <c r="K79" s="95"/>
    </row>
    <row r="80" spans="1:15" s="101" customFormat="1" ht="9.9499999999999993" customHeight="1" thickBot="1" x14ac:dyDescent="0.25">
      <c r="A80" s="189"/>
      <c r="B80" s="189"/>
      <c r="D80" s="167"/>
    </row>
    <row r="81" spans="1:11" s="149" customFormat="1" ht="35.1" customHeight="1" thickBot="1" x14ac:dyDescent="0.25">
      <c r="F81" s="612" t="s">
        <v>28</v>
      </c>
      <c r="G81" s="613"/>
      <c r="H81" s="613"/>
      <c r="I81" s="613"/>
      <c r="J81" s="614"/>
    </row>
    <row r="82" spans="1:11" ht="35.1" customHeight="1" x14ac:dyDescent="0.2">
      <c r="B82" s="95"/>
      <c r="C82" s="190"/>
      <c r="D82" s="190"/>
      <c r="F82" s="554" t="s">
        <v>57</v>
      </c>
      <c r="G82" s="554"/>
      <c r="H82" s="554"/>
      <c r="I82" s="554"/>
      <c r="J82" s="554"/>
    </row>
    <row r="83" spans="1:11" ht="35.1" customHeight="1" x14ac:dyDescent="0.2">
      <c r="A83" s="567" t="s">
        <v>111</v>
      </c>
      <c r="B83" s="568"/>
      <c r="C83" s="568"/>
      <c r="D83" s="584"/>
      <c r="E83" s="585"/>
      <c r="F83" s="191">
        <v>100</v>
      </c>
      <c r="G83" s="191">
        <v>100</v>
      </c>
      <c r="H83" s="191">
        <v>100</v>
      </c>
      <c r="I83" s="191">
        <v>100</v>
      </c>
      <c r="J83" s="191">
        <v>100</v>
      </c>
    </row>
    <row r="84" spans="1:11" ht="35.1" customHeight="1" x14ac:dyDescent="0.2">
      <c r="A84" s="567" t="s">
        <v>112</v>
      </c>
      <c r="B84" s="568"/>
      <c r="C84" s="568"/>
      <c r="D84" s="584"/>
      <c r="E84" s="585"/>
      <c r="F84" s="192">
        <f>$K$41-1</f>
        <v>9</v>
      </c>
      <c r="G84" s="191">
        <f t="shared" ref="G84:J84" si="17">$K$41-1</f>
        <v>9</v>
      </c>
      <c r="H84" s="191">
        <f t="shared" si="17"/>
        <v>9</v>
      </c>
      <c r="I84" s="191">
        <f t="shared" si="17"/>
        <v>9</v>
      </c>
      <c r="J84" s="191">
        <f t="shared" si="17"/>
        <v>9</v>
      </c>
    </row>
    <row r="85" spans="1:11" ht="35.1" customHeight="1" x14ac:dyDescent="0.2">
      <c r="A85" s="567" t="s">
        <v>113</v>
      </c>
      <c r="B85" s="568"/>
      <c r="C85" s="568"/>
      <c r="D85" s="584"/>
      <c r="E85" s="585"/>
      <c r="F85" s="192">
        <v>100</v>
      </c>
      <c r="G85" s="191">
        <v>100</v>
      </c>
      <c r="H85" s="191">
        <v>100</v>
      </c>
      <c r="I85" s="191">
        <v>100</v>
      </c>
      <c r="J85" s="191">
        <v>100</v>
      </c>
    </row>
    <row r="86" spans="1:11" ht="50.1" customHeight="1" thickBot="1" x14ac:dyDescent="0.25">
      <c r="B86" s="193"/>
      <c r="C86" s="194"/>
      <c r="D86" s="185"/>
      <c r="E86" s="195"/>
      <c r="F86" s="196" t="e">
        <f>F72^4/(F69^4/100+(F70^4/(K41-1))+(F71^4/100))</f>
        <v>#DIV/0!</v>
      </c>
      <c r="G86" s="197" t="e">
        <f>G72^4/(G69^4/100+(G70^4/(K41-1))+(G71^4/100))</f>
        <v>#DIV/0!</v>
      </c>
      <c r="H86" s="197" t="e">
        <f>H72^4/(H69^4/100+(H70^4/(K41-1))+(H71^4/100))</f>
        <v>#DIV/0!</v>
      </c>
      <c r="I86" s="197" t="e">
        <f>I72^4/(I69^4/100+(I70^4/(K41-1))+(I71^4/100))</f>
        <v>#DIV/0!</v>
      </c>
      <c r="J86" s="197" t="e">
        <f>J72^4/(J69^4/100+(J70^4/(K41-1))+(J71^4/100))</f>
        <v>#DIV/0!</v>
      </c>
    </row>
    <row r="87" spans="1:11" ht="35.1" customHeight="1" thickBot="1" x14ac:dyDescent="0.25">
      <c r="B87" s="95"/>
      <c r="C87" s="135"/>
      <c r="D87" s="135"/>
      <c r="E87" s="135"/>
      <c r="F87" s="564" t="s">
        <v>56</v>
      </c>
      <c r="G87" s="565"/>
      <c r="H87" s="565"/>
      <c r="I87" s="565"/>
      <c r="J87" s="566"/>
      <c r="K87" s="95"/>
    </row>
    <row r="88" spans="1:11" ht="35.1" customHeight="1" x14ac:dyDescent="0.2">
      <c r="A88" s="567" t="s">
        <v>114</v>
      </c>
      <c r="B88" s="568"/>
      <c r="C88" s="568"/>
      <c r="D88" s="569"/>
      <c r="E88" s="570"/>
      <c r="F88" s="198">
        <v>100</v>
      </c>
      <c r="G88" s="199">
        <v>100</v>
      </c>
      <c r="H88" s="199">
        <v>100</v>
      </c>
      <c r="I88" s="199">
        <v>100</v>
      </c>
      <c r="J88" s="199">
        <v>100</v>
      </c>
      <c r="K88" s="95"/>
    </row>
    <row r="89" spans="1:11" ht="35.1" customHeight="1" x14ac:dyDescent="0.2">
      <c r="A89" s="567" t="s">
        <v>115</v>
      </c>
      <c r="B89" s="568"/>
      <c r="C89" s="568"/>
      <c r="D89" s="569"/>
      <c r="E89" s="570"/>
      <c r="F89" s="192">
        <v>100</v>
      </c>
      <c r="G89" s="191">
        <v>100</v>
      </c>
      <c r="H89" s="191">
        <v>100</v>
      </c>
      <c r="I89" s="191">
        <v>100</v>
      </c>
      <c r="J89" s="191">
        <v>100</v>
      </c>
      <c r="K89" s="95"/>
    </row>
    <row r="90" spans="1:11" ht="35.1" customHeight="1" x14ac:dyDescent="0.2">
      <c r="A90" s="567" t="s">
        <v>116</v>
      </c>
      <c r="B90" s="568"/>
      <c r="C90" s="568"/>
      <c r="D90" s="569"/>
      <c r="E90" s="570"/>
      <c r="F90" s="192">
        <v>100</v>
      </c>
      <c r="G90" s="191">
        <v>100</v>
      </c>
      <c r="H90" s="191">
        <v>100</v>
      </c>
      <c r="I90" s="191">
        <v>100</v>
      </c>
      <c r="J90" s="191">
        <v>100</v>
      </c>
      <c r="K90" s="95"/>
    </row>
    <row r="91" spans="1:11" ht="50.1" customHeight="1" thickBot="1" x14ac:dyDescent="0.25">
      <c r="B91" s="583"/>
      <c r="C91" s="583"/>
      <c r="D91" s="583"/>
      <c r="E91" s="583"/>
      <c r="F91" s="197" t="e">
        <f>F77^4/((F74^4/100)+(F75^4/100)+(F76^4/100))</f>
        <v>#N/A</v>
      </c>
      <c r="G91" s="197" t="e">
        <f>G77^4/((G74^4/100)+(G75^4/100)+(G76^4/100))</f>
        <v>#N/A</v>
      </c>
      <c r="H91" s="197" t="e">
        <f>H77^4/((H74^4/100)+(H75^4/100)+(H76^4/100))</f>
        <v>#N/A</v>
      </c>
      <c r="I91" s="197" t="e">
        <f>I77^4/((I74^4/100)+(I75^4/100)+(I76^4/100))</f>
        <v>#N/A</v>
      </c>
      <c r="J91" s="197" t="e">
        <f>J77^4/((J74^4/100)+(J75^4/100)+(J76^4/100))</f>
        <v>#N/A</v>
      </c>
      <c r="K91" s="95"/>
    </row>
    <row r="92" spans="1:11" ht="35.1" customHeight="1" thickBot="1" x14ac:dyDescent="0.25">
      <c r="B92" s="95"/>
      <c r="C92" s="95"/>
      <c r="D92" s="95"/>
      <c r="E92" s="95"/>
      <c r="F92" s="548" t="s">
        <v>29</v>
      </c>
      <c r="G92" s="549"/>
      <c r="H92" s="549"/>
      <c r="I92" s="549"/>
      <c r="J92" s="550"/>
      <c r="K92" s="95"/>
    </row>
    <row r="93" spans="1:11" ht="50.1" customHeight="1" x14ac:dyDescent="0.2">
      <c r="B93" s="101"/>
      <c r="C93" s="631"/>
      <c r="D93" s="571"/>
      <c r="E93" s="572"/>
      <c r="F93" s="200" t="e">
        <f>F79^4/((F72^4/F86)+(F77^4/F91))</f>
        <v>#DIV/0!</v>
      </c>
      <c r="G93" s="201" t="e">
        <f>G79^4/((G72^4/G86)+(G77^4/G91))</f>
        <v>#DIV/0!</v>
      </c>
      <c r="H93" s="201" t="e">
        <f>H79^4/((H72^4/H86)+(H77^4/H91))</f>
        <v>#DIV/0!</v>
      </c>
      <c r="I93" s="201" t="e">
        <f>I79^4/((I72^4/I86)+(I77^4/I91))</f>
        <v>#DIV/0!</v>
      </c>
      <c r="J93" s="201" t="e">
        <f>J79^4/((J72^4/J86)+(J77^4/J91))</f>
        <v>#DIV/0!</v>
      </c>
      <c r="K93" s="95"/>
    </row>
    <row r="94" spans="1:11" s="101" customFormat="1" ht="9.9499999999999993" customHeight="1" thickBot="1" x14ac:dyDescent="0.25">
      <c r="B94" s="189"/>
      <c r="C94" s="189"/>
      <c r="E94" s="167"/>
    </row>
    <row r="95" spans="1:11" ht="35.1" customHeight="1" thickBot="1" x14ac:dyDescent="0.25">
      <c r="B95" s="95"/>
      <c r="C95" s="95"/>
      <c r="D95" s="95"/>
      <c r="E95" s="95"/>
      <c r="F95" s="548" t="s">
        <v>30</v>
      </c>
      <c r="G95" s="549"/>
      <c r="H95" s="549"/>
      <c r="I95" s="549"/>
      <c r="J95" s="550"/>
      <c r="K95" s="95"/>
    </row>
    <row r="96" spans="1:11" ht="35.1" customHeight="1" x14ac:dyDescent="0.2">
      <c r="B96" s="193"/>
      <c r="C96" s="202"/>
      <c r="D96" s="194"/>
      <c r="E96" s="203"/>
      <c r="F96" s="204" t="e">
        <f>_xlfn.T.INV.2T(100%-$I$98,F93)</f>
        <v>#DIV/0!</v>
      </c>
      <c r="G96" s="204" t="e">
        <f>_xlfn.T.INV.2T(100%-$I$98,G93)</f>
        <v>#DIV/0!</v>
      </c>
      <c r="H96" s="204" t="e">
        <f>_xlfn.T.INV.2T(100%-$I$98,H93)</f>
        <v>#DIV/0!</v>
      </c>
      <c r="I96" s="204" t="e">
        <f>_xlfn.T.INV.2T(100%-$I$98,I93)</f>
        <v>#DIV/0!</v>
      </c>
      <c r="J96" s="204" t="e">
        <f>_xlfn.T.INV.2T(100%-$I$98,J93)</f>
        <v>#DIV/0!</v>
      </c>
      <c r="K96" s="95"/>
    </row>
    <row r="97" spans="1:13" ht="9.9499999999999993" customHeight="1" thickBot="1" x14ac:dyDescent="0.25">
      <c r="K97" s="95"/>
    </row>
    <row r="98" spans="1:13" ht="35.1" customHeight="1" thickBot="1" x14ac:dyDescent="0.25">
      <c r="F98" s="561" t="s">
        <v>58</v>
      </c>
      <c r="G98" s="562"/>
      <c r="H98" s="563"/>
      <c r="I98" s="205">
        <v>0.95450000000000002</v>
      </c>
      <c r="L98" s="100"/>
    </row>
    <row r="99" spans="1:13" s="149" customFormat="1" ht="9.9499999999999993" customHeight="1" x14ac:dyDescent="0.2">
      <c r="F99" s="206"/>
      <c r="G99" s="206"/>
      <c r="H99" s="206"/>
      <c r="I99" s="207"/>
      <c r="J99" s="207"/>
    </row>
    <row r="100" spans="1:13" s="149" customFormat="1" ht="35.1" customHeight="1" x14ac:dyDescent="0.2">
      <c r="B100" s="599" t="s">
        <v>64</v>
      </c>
      <c r="C100" s="599"/>
      <c r="D100" s="599"/>
      <c r="E100" s="208"/>
      <c r="F100" s="209" t="e">
        <f>F79*F96</f>
        <v>#DIV/0!</v>
      </c>
      <c r="G100" s="209" t="e">
        <f>G79*G96</f>
        <v>#DIV/0!</v>
      </c>
      <c r="H100" s="209" t="e">
        <f>H79*H96</f>
        <v>#DIV/0!</v>
      </c>
      <c r="I100" s="209" t="e">
        <f>I79*I96</f>
        <v>#DIV/0!</v>
      </c>
      <c r="J100" s="272" t="e">
        <f>J79*J96</f>
        <v>#DIV/0!</v>
      </c>
    </row>
    <row r="101" spans="1:13" s="149" customFormat="1" ht="9.9499999999999993" customHeight="1" thickBot="1" x14ac:dyDescent="0.25">
      <c r="E101" s="206"/>
      <c r="F101" s="206"/>
      <c r="G101" s="206"/>
      <c r="H101" s="207"/>
      <c r="I101" s="207"/>
      <c r="J101" s="210"/>
      <c r="K101" s="210"/>
      <c r="L101" s="210"/>
      <c r="M101" s="210"/>
    </row>
    <row r="102" spans="1:13" s="149" customFormat="1" ht="35.1" customHeight="1" thickBot="1" x14ac:dyDescent="0.25">
      <c r="A102" s="548" t="s">
        <v>34</v>
      </c>
      <c r="B102" s="549"/>
      <c r="C102" s="549"/>
      <c r="D102" s="549"/>
      <c r="E102" s="549"/>
      <c r="F102" s="549"/>
      <c r="G102" s="550"/>
      <c r="I102" s="555" t="s">
        <v>127</v>
      </c>
      <c r="J102" s="556"/>
      <c r="K102" s="557"/>
    </row>
    <row r="103" spans="1:13" s="149" customFormat="1" ht="35.1" customHeight="1" x14ac:dyDescent="0.2">
      <c r="A103" s="211" t="s">
        <v>36</v>
      </c>
      <c r="B103" s="211" t="s">
        <v>37</v>
      </c>
      <c r="C103" s="211" t="s">
        <v>169</v>
      </c>
      <c r="D103" s="211" t="s">
        <v>170</v>
      </c>
      <c r="E103" s="212" t="s">
        <v>40</v>
      </c>
      <c r="F103" s="213"/>
      <c r="G103" s="547" t="s">
        <v>171</v>
      </c>
      <c r="I103" s="551"/>
      <c r="J103" s="552"/>
      <c r="K103" s="553"/>
    </row>
    <row r="104" spans="1:13" s="149" customFormat="1" ht="35.1" customHeight="1" x14ac:dyDescent="0.2">
      <c r="A104" s="214"/>
      <c r="B104" s="214"/>
      <c r="C104" s="214"/>
      <c r="D104" s="214"/>
      <c r="E104" s="215"/>
      <c r="F104" s="216"/>
      <c r="G104" s="547"/>
      <c r="I104" s="543"/>
      <c r="J104" s="544"/>
      <c r="K104" s="545"/>
    </row>
    <row r="105" spans="1:13" s="149" customFormat="1" ht="35.1" customHeight="1" x14ac:dyDescent="0.2">
      <c r="A105" s="217" t="e">
        <f>(1/F79)^2</f>
        <v>#DIV/0!</v>
      </c>
      <c r="B105" s="217" t="e">
        <f>A105*J53*L53</f>
        <v>#DIV/0!</v>
      </c>
      <c r="C105" s="217" t="e">
        <f>(J53)^2*A105</f>
        <v>#DIV/0!</v>
      </c>
      <c r="D105" s="217" t="e">
        <f>((($B$113*$E$114)+($B$114*(J53^2))))</f>
        <v>#DIV/0!</v>
      </c>
      <c r="E105" s="218" t="e">
        <f>SQRT($E$114+D105)</f>
        <v>#N/A</v>
      </c>
      <c r="F105" s="219"/>
      <c r="G105" s="220" t="e">
        <f>A105*($B$112*J53-L53)^2</f>
        <v>#DIV/0!</v>
      </c>
      <c r="I105" s="543"/>
      <c r="J105" s="544"/>
      <c r="K105" s="545"/>
    </row>
    <row r="106" spans="1:13" s="149" customFormat="1" ht="35.1" customHeight="1" x14ac:dyDescent="0.2">
      <c r="A106" s="217" t="e">
        <f>(1/G79)^2</f>
        <v>#DIV/0!</v>
      </c>
      <c r="B106" s="217" t="e">
        <f>A106*J54*L54</f>
        <v>#DIV/0!</v>
      </c>
      <c r="C106" s="217" t="e">
        <f>(J54)^2*A106</f>
        <v>#DIV/0!</v>
      </c>
      <c r="D106" s="217" t="e">
        <f>$B$113*$E$114+$B$114*J54^2</f>
        <v>#DIV/0!</v>
      </c>
      <c r="E106" s="218" t="e">
        <f>SQRT($E$114+D106)</f>
        <v>#N/A</v>
      </c>
      <c r="F106" s="221"/>
      <c r="G106" s="220" t="e">
        <f>A106*($B$112*J54-L54)^2</f>
        <v>#DIV/0!</v>
      </c>
      <c r="I106" s="543"/>
      <c r="J106" s="544"/>
      <c r="K106" s="545"/>
    </row>
    <row r="107" spans="1:13" s="149" customFormat="1" ht="35.1" customHeight="1" x14ac:dyDescent="0.2">
      <c r="A107" s="217" t="e">
        <f>(1/H79)^2</f>
        <v>#DIV/0!</v>
      </c>
      <c r="B107" s="217" t="e">
        <f>A107*J55*L55</f>
        <v>#DIV/0!</v>
      </c>
      <c r="C107" s="217" t="e">
        <f>(J55)^2*A107</f>
        <v>#DIV/0!</v>
      </c>
      <c r="D107" s="217" t="e">
        <f>$B$113*$E$114+$B$114*J55^2</f>
        <v>#DIV/0!</v>
      </c>
      <c r="E107" s="218" t="e">
        <f>SQRT($E$114+D107)</f>
        <v>#N/A</v>
      </c>
      <c r="F107" s="222"/>
      <c r="G107" s="220" t="e">
        <f>A107*($B$112*J55-L55)^2</f>
        <v>#DIV/0!</v>
      </c>
      <c r="I107" s="543"/>
      <c r="J107" s="544"/>
      <c r="K107" s="545"/>
    </row>
    <row r="108" spans="1:13" s="149" customFormat="1" ht="35.1" customHeight="1" x14ac:dyDescent="0.2">
      <c r="A108" s="217" t="e">
        <f>(1/I79)^2</f>
        <v>#DIV/0!</v>
      </c>
      <c r="B108" s="217" t="e">
        <f>A108*J56*L56</f>
        <v>#DIV/0!</v>
      </c>
      <c r="C108" s="217" t="e">
        <f>(J56)^2*A108</f>
        <v>#DIV/0!</v>
      </c>
      <c r="D108" s="217" t="e">
        <f>$B$113*$E$114+$B$114*J56^2</f>
        <v>#DIV/0!</v>
      </c>
      <c r="E108" s="218" t="e">
        <f>SQRT($E$114+D108)</f>
        <v>#N/A</v>
      </c>
      <c r="F108" s="221"/>
      <c r="G108" s="220" t="e">
        <f>A108*($B$112*J56-L56)^2</f>
        <v>#DIV/0!</v>
      </c>
      <c r="I108" s="543"/>
      <c r="J108" s="544"/>
      <c r="K108" s="545"/>
    </row>
    <row r="109" spans="1:13" s="149" customFormat="1" ht="35.1" customHeight="1" x14ac:dyDescent="0.2">
      <c r="A109" s="217" t="e">
        <f>(1/J79)^2</f>
        <v>#DIV/0!</v>
      </c>
      <c r="B109" s="217" t="e">
        <f>A109*J57*L57</f>
        <v>#DIV/0!</v>
      </c>
      <c r="C109" s="217" t="e">
        <f>(J57)^2*A109</f>
        <v>#DIV/0!</v>
      </c>
      <c r="D109" s="217" t="e">
        <f>$B$113*$E$114+$B$114*J57^2</f>
        <v>#DIV/0!</v>
      </c>
      <c r="E109" s="218" t="e">
        <f>SQRT($E$114+D109)</f>
        <v>#N/A</v>
      </c>
      <c r="F109" s="221"/>
      <c r="G109" s="220" t="e">
        <f>A109*($B$112*J57-L57)^2</f>
        <v>#DIV/0!</v>
      </c>
      <c r="I109" s="543"/>
      <c r="J109" s="544"/>
      <c r="K109" s="545"/>
    </row>
    <row r="110" spans="1:13" s="100" customFormat="1" ht="27" customHeight="1" x14ac:dyDescent="0.25">
      <c r="A110" s="267" t="s">
        <v>38</v>
      </c>
      <c r="B110" s="223" t="e">
        <f t="shared" ref="B110" si="18">SUM(B105:B109)</f>
        <v>#DIV/0!</v>
      </c>
      <c r="C110" s="223" t="e">
        <f>SUM(C105:C109)</f>
        <v>#DIV/0!</v>
      </c>
      <c r="D110" s="224"/>
      <c r="E110" s="225" t="s">
        <v>172</v>
      </c>
      <c r="F110" s="226"/>
      <c r="G110" s="227" t="e">
        <f>SUM(G105:G109)</f>
        <v>#DIV/0!</v>
      </c>
      <c r="I110" s="543"/>
      <c r="J110" s="544"/>
      <c r="K110" s="545"/>
    </row>
    <row r="111" spans="1:13" s="100" customFormat="1" ht="9.9499999999999993" customHeight="1" x14ac:dyDescent="0.2">
      <c r="B111" s="224"/>
      <c r="C111" s="224"/>
      <c r="D111" s="224"/>
      <c r="E111" s="224"/>
      <c r="F111" s="224"/>
      <c r="G111" s="224"/>
    </row>
    <row r="112" spans="1:13" ht="35.1" customHeight="1" x14ac:dyDescent="0.2">
      <c r="A112" s="228" t="s">
        <v>173</v>
      </c>
      <c r="B112" s="217" t="e">
        <f>(B110/C110)</f>
        <v>#DIV/0!</v>
      </c>
      <c r="F112" s="229" t="s">
        <v>43</v>
      </c>
      <c r="G112" s="191">
        <v>2</v>
      </c>
      <c r="I112" s="230"/>
      <c r="J112" s="230"/>
      <c r="K112" s="230"/>
    </row>
    <row r="113" spans="1:20" ht="35.1" customHeight="1" x14ac:dyDescent="0.2">
      <c r="A113" s="231" t="s">
        <v>174</v>
      </c>
      <c r="B113" s="232" t="e">
        <f>B112^2</f>
        <v>#DIV/0!</v>
      </c>
      <c r="C113" s="233" t="s">
        <v>175</v>
      </c>
      <c r="D113" s="226"/>
      <c r="E113" s="232" t="e">
        <f>F46^2</f>
        <v>#DIV/0!</v>
      </c>
      <c r="F113" s="234" t="s">
        <v>44</v>
      </c>
      <c r="G113" s="235">
        <f>G26</f>
        <v>3</v>
      </c>
      <c r="I113" s="236" t="e">
        <f>ABS(G110-G113)</f>
        <v>#DIV/0!</v>
      </c>
      <c r="J113" s="237" t="s">
        <v>39</v>
      </c>
      <c r="K113" s="238">
        <f>G112*SQRT(2*G113)</f>
        <v>4.8989794855663558</v>
      </c>
    </row>
    <row r="114" spans="1:20" ht="35.1" customHeight="1" x14ac:dyDescent="0.2">
      <c r="A114" s="239" t="s">
        <v>123</v>
      </c>
      <c r="B114" s="232" t="e">
        <f>1/C110</f>
        <v>#DIV/0!</v>
      </c>
      <c r="C114" s="268" t="s">
        <v>176</v>
      </c>
      <c r="D114" s="269"/>
      <c r="E114" s="232" t="e">
        <f>((D14*1000)^2)/6+E113</f>
        <v>#N/A</v>
      </c>
      <c r="F114" s="229" t="s">
        <v>67</v>
      </c>
      <c r="G114" s="165" t="e">
        <f>MAX(F96:J96)</f>
        <v>#DIV/0!</v>
      </c>
      <c r="I114" s="546" t="e">
        <f>IF(I113&lt;=K113,"APROBADO","NO APROBADO")</f>
        <v>#DIV/0!</v>
      </c>
      <c r="J114" s="546"/>
      <c r="K114" s="546"/>
    </row>
    <row r="115" spans="1:20" ht="9.9499999999999993" customHeight="1" x14ac:dyDescent="0.2"/>
    <row r="116" spans="1:20" ht="35.1" customHeight="1" x14ac:dyDescent="0.2">
      <c r="A116" s="542" t="s">
        <v>122</v>
      </c>
      <c r="B116" s="542"/>
      <c r="C116" s="542"/>
      <c r="D116" s="542"/>
      <c r="E116" s="542"/>
      <c r="F116" s="542"/>
      <c r="G116" s="542"/>
      <c r="H116" s="542"/>
      <c r="I116" s="542"/>
      <c r="J116" s="542"/>
      <c r="K116" s="542"/>
      <c r="L116" s="542"/>
    </row>
    <row r="117" spans="1:20" ht="35.1" customHeight="1" x14ac:dyDescent="0.2">
      <c r="C117" s="240" t="s">
        <v>41</v>
      </c>
      <c r="D117" s="163" t="e">
        <f>SLOPE(E105:E109,G21:G25)</f>
        <v>#N/A</v>
      </c>
      <c r="E117" s="539" t="s">
        <v>124</v>
      </c>
      <c r="F117" s="540"/>
      <c r="G117" s="241" t="s">
        <v>77</v>
      </c>
      <c r="H117" s="242">
        <v>5</v>
      </c>
      <c r="I117" s="95"/>
      <c r="K117" s="95"/>
    </row>
    <row r="118" spans="1:20" ht="35.1" customHeight="1" x14ac:dyDescent="0.2">
      <c r="C118" s="240" t="s">
        <v>42</v>
      </c>
      <c r="D118" s="163" t="e">
        <f>INTERCEPT(E105:E109,G21:G25)</f>
        <v>#N/A</v>
      </c>
      <c r="E118" s="539" t="s">
        <v>125</v>
      </c>
      <c r="F118" s="540"/>
      <c r="G118" s="240" t="s">
        <v>78</v>
      </c>
      <c r="H118" s="242" t="e">
        <f>D117*H117+D118</f>
        <v>#N/A</v>
      </c>
    </row>
    <row r="119" spans="1:20" ht="35.1" customHeight="1" x14ac:dyDescent="0.2">
      <c r="L119" s="100"/>
    </row>
    <row r="120" spans="1:20" ht="35.1" customHeight="1" x14ac:dyDescent="0.2">
      <c r="J120" s="128" t="s">
        <v>71</v>
      </c>
      <c r="K120" s="128" t="s">
        <v>72</v>
      </c>
    </row>
    <row r="121" spans="1:20" ht="35.1" customHeight="1" x14ac:dyDescent="0.2">
      <c r="J121" s="243" t="e">
        <f>G21</f>
        <v>#N/A</v>
      </c>
      <c r="K121" s="244" t="e">
        <f>E105</f>
        <v>#N/A</v>
      </c>
    </row>
    <row r="122" spans="1:20" ht="35.1" customHeight="1" x14ac:dyDescent="0.2">
      <c r="I122" s="108"/>
      <c r="J122" s="245" t="e">
        <f>G22</f>
        <v>#N/A</v>
      </c>
      <c r="K122" s="246" t="e">
        <f>E106</f>
        <v>#N/A</v>
      </c>
    </row>
    <row r="123" spans="1:20" ht="35.1" customHeight="1" x14ac:dyDescent="0.2">
      <c r="I123" s="108"/>
      <c r="J123" s="245" t="e">
        <f>G23</f>
        <v>#N/A</v>
      </c>
      <c r="K123" s="246" t="e">
        <f>E107</f>
        <v>#N/A</v>
      </c>
    </row>
    <row r="124" spans="1:20" ht="35.1" customHeight="1" x14ac:dyDescent="0.2">
      <c r="I124" s="108"/>
      <c r="J124" s="245" t="e">
        <f>G24</f>
        <v>#N/A</v>
      </c>
      <c r="K124" s="246" t="e">
        <f>E108</f>
        <v>#N/A</v>
      </c>
    </row>
    <row r="125" spans="1:20" ht="35.1" customHeight="1" x14ac:dyDescent="0.2">
      <c r="A125" s="247"/>
      <c r="I125" s="108"/>
      <c r="J125" s="245" t="e">
        <f>G25</f>
        <v>#N/A</v>
      </c>
      <c r="K125" s="248" t="e">
        <f>E109</f>
        <v>#N/A</v>
      </c>
    </row>
    <row r="126" spans="1:20" ht="35.1" customHeight="1" x14ac:dyDescent="0.2">
      <c r="A126" s="247"/>
      <c r="I126" s="108"/>
      <c r="J126" s="108"/>
      <c r="K126" s="108"/>
      <c r="L126" s="108"/>
    </row>
    <row r="127" spans="1:20" ht="9.9499999999999993" customHeight="1" x14ac:dyDescent="0.2">
      <c r="A127" s="247"/>
      <c r="I127" s="249"/>
      <c r="J127" s="249"/>
      <c r="K127" s="249"/>
      <c r="L127" s="249"/>
    </row>
    <row r="128" spans="1:20" s="100" customFormat="1" ht="35.1" customHeight="1" x14ac:dyDescent="0.2">
      <c r="B128" s="250" t="s">
        <v>177</v>
      </c>
      <c r="C128" s="251"/>
      <c r="D128" s="252" t="e">
        <f>B112*E113</f>
        <v>#DIV/0!</v>
      </c>
      <c r="E128" s="253" t="s">
        <v>73</v>
      </c>
      <c r="F128" s="251" t="s">
        <v>178</v>
      </c>
      <c r="G128" s="232" t="e">
        <f>B114</f>
        <v>#DIV/0!</v>
      </c>
      <c r="I128" s="108"/>
      <c r="J128" s="108"/>
      <c r="K128" s="108"/>
      <c r="L128" s="108"/>
      <c r="M128" s="95"/>
      <c r="N128" s="95"/>
      <c r="O128" s="95"/>
      <c r="P128" s="95"/>
      <c r="Q128" s="95"/>
      <c r="R128" s="95"/>
      <c r="S128" s="95"/>
      <c r="T128" s="95"/>
    </row>
    <row r="129" spans="1:20" s="100" customFormat="1" ht="9.9499999999999993" customHeight="1" x14ac:dyDescent="0.2">
      <c r="A129" s="95"/>
      <c r="D129" s="254"/>
      <c r="E129" s="255"/>
      <c r="M129" s="95"/>
      <c r="N129" s="95"/>
      <c r="O129" s="95"/>
      <c r="P129" s="95"/>
      <c r="Q129" s="95"/>
      <c r="R129" s="95"/>
      <c r="S129" s="95"/>
      <c r="T129" s="95"/>
    </row>
    <row r="130" spans="1:20" ht="35.1" customHeight="1" x14ac:dyDescent="0.2">
      <c r="A130" s="541" t="s">
        <v>75</v>
      </c>
      <c r="B130" s="541"/>
      <c r="C130" s="541"/>
      <c r="D130" s="541"/>
      <c r="E130" s="541"/>
      <c r="F130" s="541"/>
      <c r="G130" s="541"/>
      <c r="H130" s="541"/>
      <c r="I130" s="541"/>
      <c r="J130" s="541"/>
      <c r="K130" s="541"/>
      <c r="L130" s="541"/>
    </row>
    <row r="131" spans="1:20" ht="35.1" customHeight="1" thickBot="1" x14ac:dyDescent="0.25">
      <c r="B131" s="538" t="s">
        <v>68</v>
      </c>
      <c r="C131" s="538"/>
      <c r="D131" s="538"/>
      <c r="E131" s="144" t="s">
        <v>153</v>
      </c>
      <c r="F131" s="277" t="e">
        <f>B112</f>
        <v>#DIV/0!</v>
      </c>
      <c r="G131" s="270" t="s">
        <v>74</v>
      </c>
      <c r="H131" s="95"/>
      <c r="K131" s="95"/>
    </row>
    <row r="132" spans="1:20" ht="9.9499999999999993" customHeight="1" x14ac:dyDescent="0.2">
      <c r="K132" s="95"/>
    </row>
    <row r="133" spans="1:20" ht="35.1" customHeight="1" x14ac:dyDescent="0.2">
      <c r="B133" s="538" t="s">
        <v>69</v>
      </c>
      <c r="C133" s="538"/>
      <c r="D133" s="538"/>
      <c r="E133" s="142" t="s">
        <v>76</v>
      </c>
      <c r="F133" s="275" t="e">
        <f>D118*G114</f>
        <v>#N/A</v>
      </c>
      <c r="G133" s="253" t="s">
        <v>73</v>
      </c>
      <c r="H133" s="276" t="e">
        <f>D117*G114</f>
        <v>#N/A</v>
      </c>
      <c r="I133" s="271" t="s">
        <v>74</v>
      </c>
      <c r="J133" s="95"/>
      <c r="K133" s="95"/>
    </row>
    <row r="134" spans="1:20" ht="15" customHeight="1" x14ac:dyDescent="0.2">
      <c r="J134" s="95"/>
      <c r="K134" s="95"/>
    </row>
    <row r="135" spans="1:20" ht="15" customHeight="1" x14ac:dyDescent="0.2"/>
    <row r="136" spans="1:20" ht="15" customHeight="1" x14ac:dyDescent="0.2">
      <c r="L136" s="256"/>
    </row>
    <row r="137" spans="1:20" ht="15" customHeight="1" x14ac:dyDescent="0.2">
      <c r="I137" s="257"/>
      <c r="J137" s="257"/>
      <c r="K137" s="257"/>
      <c r="L137" s="258"/>
    </row>
  </sheetData>
  <sheetProtection algorithmName="SHA-512" hashValue="I1ugLbH/Rd4WYTdEItaP0LPLpMA3ptYHWX1x+7mCiygaL8dXPEZkLPUBOcXhCAPWUoUsPr2MUuF2TDs58BVzXw==" saltValue="6bo9BsFuhcEXLePGVpJcgQ==" spinCount="100000" sheet="1" objects="1" scenarios="1"/>
  <dataConsolidate>
    <dataRefs count="2">
      <dataRef ref="C5:D7" sheet="DATOS DE LOS PATRONES " r:id="rId1"/>
      <dataRef ref="K5:L7" sheet="DATOS DE LOS PATRONES " r:id="rId2"/>
    </dataRefs>
  </dataConsolidate>
  <mergeCells count="99">
    <mergeCell ref="C1:L3"/>
    <mergeCell ref="A84:C84"/>
    <mergeCell ref="A83:C83"/>
    <mergeCell ref="C93:E93"/>
    <mergeCell ref="I12:J12"/>
    <mergeCell ref="I13:J13"/>
    <mergeCell ref="I14:J14"/>
    <mergeCell ref="F73:J73"/>
    <mergeCell ref="B8:E8"/>
    <mergeCell ref="B9:C9"/>
    <mergeCell ref="B10:C10"/>
    <mergeCell ref="B11:C11"/>
    <mergeCell ref="B13:C13"/>
    <mergeCell ref="G13:H13"/>
    <mergeCell ref="B14:C14"/>
    <mergeCell ref="J5:J6"/>
    <mergeCell ref="A1:B3"/>
    <mergeCell ref="B51:E51"/>
    <mergeCell ref="A63:L63"/>
    <mergeCell ref="B40:J40"/>
    <mergeCell ref="F81:J81"/>
    <mergeCell ref="B12:C12"/>
    <mergeCell ref="G9:J9"/>
    <mergeCell ref="G11:H11"/>
    <mergeCell ref="I11:J11"/>
    <mergeCell ref="G12:H12"/>
    <mergeCell ref="G14:H14"/>
    <mergeCell ref="B15:C15"/>
    <mergeCell ref="G15:H15"/>
    <mergeCell ref="I15:J15"/>
    <mergeCell ref="B59:I59"/>
    <mergeCell ref="B39:J39"/>
    <mergeCell ref="K59:L59"/>
    <mergeCell ref="F95:J95"/>
    <mergeCell ref="B100:D100"/>
    <mergeCell ref="B50:L50"/>
    <mergeCell ref="G51:L51"/>
    <mergeCell ref="A75:B75"/>
    <mergeCell ref="C74:E74"/>
    <mergeCell ref="F65:J65"/>
    <mergeCell ref="F68:J68"/>
    <mergeCell ref="I10:J10"/>
    <mergeCell ref="G10:H10"/>
    <mergeCell ref="B21:C23"/>
    <mergeCell ref="C24:D24"/>
    <mergeCell ref="B28:I28"/>
    <mergeCell ref="B18:C20"/>
    <mergeCell ref="G18:J18"/>
    <mergeCell ref="G19:G20"/>
    <mergeCell ref="H19:H20"/>
    <mergeCell ref="I19:I20"/>
    <mergeCell ref="J19:J20"/>
    <mergeCell ref="B31:G31"/>
    <mergeCell ref="B17:J17"/>
    <mergeCell ref="B91:E91"/>
    <mergeCell ref="D85:E85"/>
    <mergeCell ref="D83:E83"/>
    <mergeCell ref="D84:E84"/>
    <mergeCell ref="F78:J78"/>
    <mergeCell ref="C76:E76"/>
    <mergeCell ref="C77:E77"/>
    <mergeCell ref="A76:B76"/>
    <mergeCell ref="A85:C85"/>
    <mergeCell ref="A74:B74"/>
    <mergeCell ref="A69:E69"/>
    <mergeCell ref="A70:E70"/>
    <mergeCell ref="I106:K106"/>
    <mergeCell ref="B68:D68"/>
    <mergeCell ref="F98:H98"/>
    <mergeCell ref="F92:J92"/>
    <mergeCell ref="F87:J87"/>
    <mergeCell ref="A88:C88"/>
    <mergeCell ref="A89:C89"/>
    <mergeCell ref="A90:C90"/>
    <mergeCell ref="D88:E88"/>
    <mergeCell ref="D89:E89"/>
    <mergeCell ref="D90:E90"/>
    <mergeCell ref="C75:E75"/>
    <mergeCell ref="C72:E72"/>
    <mergeCell ref="C71:E71"/>
    <mergeCell ref="I105:K105"/>
    <mergeCell ref="A71:B71"/>
    <mergeCell ref="G103:G104"/>
    <mergeCell ref="A102:G102"/>
    <mergeCell ref="I103:K103"/>
    <mergeCell ref="I104:K104"/>
    <mergeCell ref="F82:J82"/>
    <mergeCell ref="I102:K102"/>
    <mergeCell ref="I107:K107"/>
    <mergeCell ref="I108:K108"/>
    <mergeCell ref="I109:K109"/>
    <mergeCell ref="I110:K110"/>
    <mergeCell ref="B131:D131"/>
    <mergeCell ref="I114:K114"/>
    <mergeCell ref="B133:D133"/>
    <mergeCell ref="E118:F118"/>
    <mergeCell ref="E117:F117"/>
    <mergeCell ref="A130:L130"/>
    <mergeCell ref="A116:L116"/>
  </mergeCells>
  <conditionalFormatting sqref="I114">
    <cfRule type="cellIs" dxfId="0" priority="1" operator="greaterThan">
      <formula>$I$113</formula>
    </cfRule>
  </conditionalFormatting>
  <dataValidations count="1">
    <dataValidation type="list" allowBlank="1" showInputMessage="1" showErrorMessage="1" sqref="E24">
      <formula1>$C$27:$C$84</formula1>
    </dataValidation>
  </dataValidations>
  <printOptions horizontalCentered="1"/>
  <pageMargins left="0.23622047244094491" right="0.23622047244094491" top="0.74803149606299213" bottom="0.74803149606299213" header="0.31496062992125984" footer="0.31496062992125984"/>
  <pageSetup scale="44" orientation="portrait" r:id="rId3"/>
  <headerFooter>
    <oddFooter xml:space="preserve">&amp;RRT03-F34 Vr.1 (2018-03-05)
</oddFooter>
  </headerFooter>
  <rowBreaks count="2" manualBreakCount="2">
    <brk id="48" max="16383" man="1"/>
    <brk id="93" max="11" man="1"/>
  </rowBreaks>
  <drawing r:id="rId4"/>
  <extLst>
    <ext xmlns:x14="http://schemas.microsoft.com/office/spreadsheetml/2009/9/main" uri="{CCE6A557-97BC-4b89-ADB6-D9C93CAAB3DF}">
      <x14:dataValidations xmlns:xm="http://schemas.microsoft.com/office/excel/2006/main" count="8">
        <x14:dataValidation type="list" allowBlank="1" showInputMessage="1" showErrorMessage="1">
          <x14:formula1>
            <xm:f>DATOS!$C$7:$C$9</xm:f>
          </x14:formula1>
          <xm:sqref>J5:J6</xm:sqref>
        </x14:dataValidation>
        <x14:dataValidation type="list" allowBlank="1" showInputMessage="1" showErrorMessage="1">
          <x14:formula1>
            <xm:f>DATOS!$C$16:$C$22</xm:f>
          </x14:formula1>
          <xm:sqref>F8</xm:sqref>
        </x14:dataValidation>
        <x14:dataValidation type="list" allowBlank="1" showInputMessage="1" showErrorMessage="1">
          <x14:formula1>
            <xm:f>DATOS!$C$27:$C$84</xm:f>
          </x14:formula1>
          <xm:sqref>K22:K24</xm:sqref>
        </x14:dataValidation>
        <x14:dataValidation type="list" allowBlank="1" showInputMessage="1" showErrorMessage="1">
          <x14:formula1>
            <xm:f>DATOS!$K$27:$K$39</xm:f>
          </x14:formula1>
          <xm:sqref>E19</xm:sqref>
        </x14:dataValidation>
        <x14:dataValidation type="list" allowBlank="1" showInputMessage="1" showErrorMessage="1">
          <x14:formula1>
            <xm:f>DATOS!$L$27:$L$39</xm:f>
          </x14:formula1>
          <xm:sqref>D22:F22</xm:sqref>
        </x14:dataValidation>
        <x14:dataValidation type="list" allowBlank="1" showInputMessage="1" showErrorMessage="1">
          <x14:formula1>
            <xm:f>DATOS!$C$27:$C$83</xm:f>
          </x14:formula1>
          <xm:sqref>K21</xm:sqref>
        </x14:dataValidation>
        <x14:dataValidation type="list" allowBlank="1" showInputMessage="1" showErrorMessage="1">
          <x14:formula1>
            <xm:f>DATOS!$C$119:$C$123</xm:f>
          </x14:formula1>
          <xm:sqref>J59</xm:sqref>
        </x14:dataValidation>
        <x14:dataValidation type="list" allowBlank="1" showInputMessage="1" showErrorMessage="1">
          <x14:formula1>
            <xm:f>DATOS!$B$27:$B$84</xm:f>
          </x14:formula1>
          <xm:sqref>K10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97"/>
  <sheetViews>
    <sheetView showGridLines="0" showRuler="0" showWhiteSpace="0" view="pageBreakPreview" topLeftCell="A10" zoomScale="115" zoomScaleNormal="110" zoomScaleSheetLayoutView="115" zoomScalePageLayoutView="85" workbookViewId="0">
      <selection activeCell="D16" sqref="D16:E16"/>
    </sheetView>
  </sheetViews>
  <sheetFormatPr baseColWidth="10" defaultRowHeight="15" customHeight="1" x14ac:dyDescent="0.2"/>
  <cols>
    <col min="1" max="3" width="14.7109375" style="6" customWidth="1"/>
    <col min="4" max="4" width="15.140625" style="6" customWidth="1"/>
    <col min="5" max="6" width="14.7109375" style="6" customWidth="1"/>
    <col min="7" max="16384" width="11.42578125" style="6"/>
  </cols>
  <sheetData>
    <row r="1" spans="1:6" ht="18.95" customHeight="1" x14ac:dyDescent="0.2">
      <c r="A1" s="14"/>
      <c r="B1" s="14"/>
      <c r="C1" s="15"/>
      <c r="D1" s="15"/>
      <c r="E1" s="15"/>
      <c r="F1" s="15"/>
    </row>
    <row r="2" spans="1:6" ht="15" customHeight="1" x14ac:dyDescent="0.2">
      <c r="A2" s="14"/>
      <c r="B2" s="14"/>
      <c r="C2" s="15"/>
      <c r="D2" s="15"/>
      <c r="E2" s="15"/>
      <c r="F2" s="15"/>
    </row>
    <row r="3" spans="1:6" ht="15" customHeight="1" x14ac:dyDescent="0.2">
      <c r="A3" s="14"/>
      <c r="B3" s="14"/>
      <c r="C3" s="15"/>
      <c r="D3" s="15"/>
      <c r="E3" s="15"/>
      <c r="F3" s="15"/>
    </row>
    <row r="4" spans="1:6" ht="12" customHeight="1" x14ac:dyDescent="0.2">
      <c r="A4" s="2"/>
      <c r="B4" s="2"/>
      <c r="C4" s="2"/>
      <c r="D4" s="2"/>
      <c r="E4" s="2"/>
      <c r="F4" s="2"/>
    </row>
    <row r="5" spans="1:6" ht="20.100000000000001" customHeight="1" x14ac:dyDescent="0.25">
      <c r="A5" s="681" t="s">
        <v>80</v>
      </c>
      <c r="B5" s="681"/>
      <c r="C5" s="681"/>
      <c r="D5" s="5"/>
      <c r="E5" s="72"/>
      <c r="F5" s="445" t="e">
        <f>'RT03-F34'!I6</f>
        <v>#N/A</v>
      </c>
    </row>
    <row r="6" spans="1:6" ht="12" customHeight="1" x14ac:dyDescent="0.2">
      <c r="A6" s="7"/>
      <c r="B6" s="5"/>
      <c r="C6" s="5"/>
      <c r="D6" s="5"/>
      <c r="E6" s="5"/>
      <c r="F6" s="5"/>
    </row>
    <row r="7" spans="1:6" ht="15" customHeight="1" x14ac:dyDescent="0.2">
      <c r="A7" s="660" t="s">
        <v>156</v>
      </c>
      <c r="B7" s="660"/>
      <c r="C7" s="664" t="e">
        <f>'RT03-F34'!G6</f>
        <v>#N/A</v>
      </c>
      <c r="D7" s="660"/>
      <c r="E7" s="660"/>
      <c r="F7" s="660"/>
    </row>
    <row r="8" spans="1:6" ht="30" customHeight="1" thickBot="1" x14ac:dyDescent="0.25">
      <c r="A8" s="660" t="s">
        <v>81</v>
      </c>
      <c r="B8" s="660"/>
      <c r="C8" s="664" t="e">
        <f>'RT03-F34'!H6</f>
        <v>#N/A</v>
      </c>
      <c r="D8" s="660"/>
      <c r="E8" s="660"/>
      <c r="F8" s="660"/>
    </row>
    <row r="9" spans="1:6" ht="15" customHeight="1" x14ac:dyDescent="0.2">
      <c r="A9" s="660" t="s">
        <v>82</v>
      </c>
      <c r="B9" s="660"/>
      <c r="C9" s="664" t="e">
        <f>'RT03-F34'!B6</f>
        <v>#N/A</v>
      </c>
      <c r="D9" s="660"/>
      <c r="E9" s="683" t="s">
        <v>388</v>
      </c>
      <c r="F9" s="684"/>
    </row>
    <row r="10" spans="1:6" ht="12" customHeight="1" x14ac:dyDescent="0.2">
      <c r="A10" s="689"/>
      <c r="B10" s="689"/>
      <c r="C10" s="9"/>
      <c r="D10" s="5"/>
      <c r="E10" s="685"/>
      <c r="F10" s="686"/>
    </row>
    <row r="11" spans="1:6" ht="15" customHeight="1" x14ac:dyDescent="0.2">
      <c r="A11" s="660" t="s">
        <v>140</v>
      </c>
      <c r="B11" s="660"/>
      <c r="C11" s="660" t="s">
        <v>139</v>
      </c>
      <c r="D11" s="660"/>
      <c r="E11" s="685"/>
      <c r="F11" s="686"/>
    </row>
    <row r="12" spans="1:6" ht="15" customHeight="1" x14ac:dyDescent="0.2">
      <c r="A12" s="660" t="s">
        <v>84</v>
      </c>
      <c r="B12" s="660"/>
      <c r="C12" s="664" t="e">
        <f>'RT03-F34'!D9</f>
        <v>#N/A</v>
      </c>
      <c r="D12" s="660"/>
      <c r="E12" s="685"/>
      <c r="F12" s="686"/>
    </row>
    <row r="13" spans="1:6" ht="15" customHeight="1" x14ac:dyDescent="0.2">
      <c r="A13" s="660" t="s">
        <v>9</v>
      </c>
      <c r="B13" s="660"/>
      <c r="C13" s="679" t="e">
        <f>'RT03-F34'!D10</f>
        <v>#N/A</v>
      </c>
      <c r="D13" s="660"/>
      <c r="E13" s="685"/>
      <c r="F13" s="686"/>
    </row>
    <row r="14" spans="1:6" ht="15" customHeight="1" thickBot="1" x14ac:dyDescent="0.25">
      <c r="A14" s="660" t="s">
        <v>85</v>
      </c>
      <c r="B14" s="660"/>
      <c r="C14" s="84" t="e">
        <f>'RT03-F34'!D11</f>
        <v>#N/A</v>
      </c>
      <c r="D14" s="5"/>
      <c r="E14" s="687"/>
      <c r="F14" s="688"/>
    </row>
    <row r="15" spans="1:6" ht="15" customHeight="1" x14ac:dyDescent="0.2">
      <c r="A15" s="40"/>
      <c r="B15" s="40"/>
      <c r="C15" s="40"/>
      <c r="D15" s="33"/>
      <c r="E15" s="33"/>
      <c r="F15" s="33"/>
    </row>
    <row r="16" spans="1:6" ht="12" customHeight="1" x14ac:dyDescent="0.2">
      <c r="A16" s="660" t="s">
        <v>83</v>
      </c>
      <c r="B16" s="660"/>
      <c r="C16" s="41" t="e">
        <f>'RT03-F34'!C6</f>
        <v>#N/A</v>
      </c>
      <c r="D16" s="682" t="s">
        <v>373</v>
      </c>
      <c r="E16" s="682"/>
      <c r="F16" s="41" t="e">
        <f>'RT03-F34'!F6</f>
        <v>#N/A</v>
      </c>
    </row>
    <row r="17" spans="1:6" ht="15" customHeight="1" x14ac:dyDescent="0.2">
      <c r="A17" s="40"/>
      <c r="B17" s="40"/>
      <c r="C17" s="41"/>
      <c r="D17" s="40"/>
      <c r="E17" s="40"/>
      <c r="F17" s="41"/>
    </row>
    <row r="18" spans="1:6" ht="20.100000000000001" customHeight="1" x14ac:dyDescent="0.2">
      <c r="A18" s="661" t="s">
        <v>138</v>
      </c>
      <c r="B18" s="661"/>
      <c r="C18" s="661"/>
      <c r="D18" s="33"/>
      <c r="E18" s="33"/>
      <c r="F18" s="33"/>
    </row>
    <row r="19" spans="1:6" ht="12" customHeight="1" x14ac:dyDescent="0.2">
      <c r="A19" s="36"/>
      <c r="B19" s="36"/>
      <c r="C19" s="36"/>
      <c r="D19" s="33"/>
      <c r="E19" s="33"/>
      <c r="F19" s="33"/>
    </row>
    <row r="20" spans="1:6" ht="15" customHeight="1" x14ac:dyDescent="0.2">
      <c r="A20" s="660" t="s">
        <v>134</v>
      </c>
      <c r="B20" s="660"/>
      <c r="C20" s="85" t="e">
        <f>'RT03-F34'!D12</f>
        <v>#N/A</v>
      </c>
      <c r="D20" s="40" t="s">
        <v>91</v>
      </c>
      <c r="E20" s="40"/>
      <c r="F20" s="40"/>
    </row>
    <row r="21" spans="1:6" ht="15" customHeight="1" x14ac:dyDescent="0.2">
      <c r="A21" s="660" t="s">
        <v>135</v>
      </c>
      <c r="B21" s="660"/>
      <c r="C21" s="85" t="e">
        <f>'RT03-F34'!D13</f>
        <v>#N/A</v>
      </c>
      <c r="D21" s="40" t="s">
        <v>91</v>
      </c>
      <c r="E21" s="40"/>
      <c r="F21" s="40"/>
    </row>
    <row r="22" spans="1:6" ht="15" customHeight="1" x14ac:dyDescent="0.2">
      <c r="A22" s="660" t="s">
        <v>136</v>
      </c>
      <c r="B22" s="660"/>
      <c r="C22" s="84" t="e">
        <f>'RT03-F34'!D14</f>
        <v>#N/A</v>
      </c>
      <c r="D22" s="40" t="s">
        <v>91</v>
      </c>
      <c r="E22" s="40"/>
      <c r="F22" s="40"/>
    </row>
    <row r="23" spans="1:6" ht="15" customHeight="1" x14ac:dyDescent="0.2">
      <c r="A23" s="660" t="s">
        <v>137</v>
      </c>
      <c r="B23" s="660"/>
      <c r="C23" s="85" t="e">
        <f>'RT03-F34'!D15</f>
        <v>#N/A</v>
      </c>
      <c r="D23" s="40" t="s">
        <v>91</v>
      </c>
      <c r="E23" s="40"/>
      <c r="F23" s="40"/>
    </row>
    <row r="25" spans="1:6" ht="20.100000000000001" customHeight="1" x14ac:dyDescent="0.2">
      <c r="A25" s="661" t="s">
        <v>390</v>
      </c>
      <c r="B25" s="661"/>
      <c r="C25" s="10" t="e">
        <f>'RT03-F34'!D6</f>
        <v>#N/A</v>
      </c>
      <c r="D25" s="8"/>
      <c r="E25" s="8"/>
      <c r="F25" s="5"/>
    </row>
    <row r="26" spans="1:6" ht="12" customHeight="1" x14ac:dyDescent="0.2">
      <c r="A26" s="11"/>
      <c r="B26" s="11"/>
      <c r="C26" s="11"/>
    </row>
    <row r="27" spans="1:6" ht="20.100000000000001" customHeight="1" x14ac:dyDescent="0.2">
      <c r="A27" s="661" t="s">
        <v>164</v>
      </c>
      <c r="B27" s="661"/>
      <c r="C27" s="661"/>
      <c r="D27" s="661"/>
      <c r="E27" s="661"/>
      <c r="F27" s="661"/>
    </row>
    <row r="28" spans="1:6" ht="12" customHeight="1" x14ac:dyDescent="0.2">
      <c r="D28" s="12"/>
      <c r="E28" s="5"/>
      <c r="F28" s="5"/>
    </row>
    <row r="29" spans="1:6" ht="20.100000000000001" customHeight="1" x14ac:dyDescent="0.2">
      <c r="A29" s="661" t="s">
        <v>379</v>
      </c>
      <c r="B29" s="661"/>
      <c r="C29" s="661"/>
      <c r="D29" s="12"/>
      <c r="E29" s="5"/>
      <c r="F29" s="5"/>
    </row>
    <row r="30" spans="1:6" ht="12" customHeight="1" x14ac:dyDescent="0.2">
      <c r="A30" s="36"/>
      <c r="B30" s="36"/>
      <c r="C30" s="36"/>
      <c r="D30" s="12"/>
      <c r="E30" s="33"/>
      <c r="F30" s="33"/>
    </row>
    <row r="31" spans="1:6" ht="15" customHeight="1" x14ac:dyDescent="0.2">
      <c r="A31" s="660" t="s">
        <v>380</v>
      </c>
      <c r="B31" s="660"/>
      <c r="C31" s="660"/>
      <c r="D31" s="660"/>
      <c r="E31" s="660"/>
      <c r="F31" s="660"/>
    </row>
    <row r="32" spans="1:6" ht="12" customHeight="1" x14ac:dyDescent="0.2">
      <c r="A32" s="11"/>
      <c r="B32" s="11"/>
      <c r="C32" s="11"/>
      <c r="D32" s="11"/>
      <c r="E32" s="11"/>
      <c r="F32" s="11"/>
    </row>
    <row r="33" spans="1:6" ht="20.100000000000001" customHeight="1" x14ac:dyDescent="0.2">
      <c r="A33" s="639" t="s">
        <v>381</v>
      </c>
      <c r="B33" s="639"/>
      <c r="C33" s="639"/>
      <c r="D33" s="639"/>
      <c r="E33" s="11"/>
      <c r="F33" s="11"/>
    </row>
    <row r="34" spans="1:6" ht="12" customHeight="1" x14ac:dyDescent="0.2">
      <c r="A34" s="37"/>
      <c r="B34" s="37"/>
      <c r="C34" s="37"/>
      <c r="D34" s="37"/>
      <c r="E34" s="11"/>
      <c r="F34" s="11"/>
    </row>
    <row r="35" spans="1:6" ht="15" customHeight="1" x14ac:dyDescent="0.2">
      <c r="A35" s="678" t="s">
        <v>389</v>
      </c>
      <c r="B35" s="678"/>
      <c r="C35" s="678"/>
      <c r="D35" s="678"/>
      <c r="E35" s="678"/>
      <c r="F35" s="678"/>
    </row>
    <row r="36" spans="1:6" ht="15" customHeight="1" x14ac:dyDescent="0.2">
      <c r="A36" s="678"/>
      <c r="B36" s="678"/>
      <c r="C36" s="678"/>
      <c r="D36" s="678"/>
      <c r="E36" s="678"/>
      <c r="F36" s="678"/>
    </row>
    <row r="37" spans="1:6" ht="15" customHeight="1" x14ac:dyDescent="0.2">
      <c r="A37" s="678"/>
      <c r="B37" s="678"/>
      <c r="C37" s="678"/>
      <c r="D37" s="678"/>
      <c r="E37" s="678"/>
      <c r="F37" s="678"/>
    </row>
    <row r="38" spans="1:6" ht="15" customHeight="1" x14ac:dyDescent="0.2">
      <c r="A38" s="678"/>
      <c r="B38" s="678"/>
      <c r="C38" s="678"/>
      <c r="D38" s="678"/>
      <c r="E38" s="678"/>
      <c r="F38" s="678"/>
    </row>
    <row r="39" spans="1:6" ht="12" customHeight="1" x14ac:dyDescent="0.2"/>
    <row r="40" spans="1:6" ht="15" customHeight="1" x14ac:dyDescent="0.2">
      <c r="A40" s="639" t="s">
        <v>161</v>
      </c>
      <c r="B40" s="639"/>
      <c r="C40" s="668" t="s">
        <v>132</v>
      </c>
      <c r="D40" s="668"/>
      <c r="E40" s="668"/>
      <c r="F40" s="668"/>
    </row>
    <row r="41" spans="1:6" ht="15" customHeight="1" x14ac:dyDescent="0.2">
      <c r="A41" s="639"/>
      <c r="B41" s="639"/>
      <c r="C41" s="668"/>
      <c r="D41" s="668"/>
      <c r="E41" s="668"/>
      <c r="F41" s="668"/>
    </row>
    <row r="42" spans="1:6" ht="15" customHeight="1" x14ac:dyDescent="0.2">
      <c r="A42" s="669" t="s">
        <v>157</v>
      </c>
      <c r="B42" s="669"/>
      <c r="C42" s="668" t="s">
        <v>133</v>
      </c>
      <c r="D42" s="668"/>
      <c r="E42" s="668"/>
      <c r="F42" s="668"/>
    </row>
    <row r="43" spans="1:6" ht="15" customHeight="1" x14ac:dyDescent="0.2">
      <c r="A43" s="669"/>
      <c r="B43" s="669"/>
      <c r="C43" s="668"/>
      <c r="D43" s="668"/>
      <c r="E43" s="668"/>
      <c r="F43" s="668"/>
    </row>
    <row r="44" spans="1:6" ht="15" customHeight="1" x14ac:dyDescent="0.2">
      <c r="A44" s="669" t="s">
        <v>158</v>
      </c>
      <c r="B44" s="669"/>
      <c r="C44" s="668" t="s">
        <v>179</v>
      </c>
      <c r="D44" s="668"/>
      <c r="E44" s="668"/>
      <c r="F44" s="668"/>
    </row>
    <row r="45" spans="1:6" ht="15" customHeight="1" x14ac:dyDescent="0.2">
      <c r="A45" s="669"/>
      <c r="B45" s="669"/>
      <c r="C45" s="668"/>
      <c r="D45" s="668"/>
      <c r="E45" s="668"/>
      <c r="F45" s="668"/>
    </row>
    <row r="46" spans="1:6" ht="12" customHeight="1" x14ac:dyDescent="0.2">
      <c r="A46" s="12"/>
      <c r="B46" s="12"/>
      <c r="C46" s="12"/>
      <c r="D46" s="12"/>
      <c r="E46" s="12"/>
      <c r="F46" s="12"/>
    </row>
    <row r="47" spans="1:6" ht="30" customHeight="1" x14ac:dyDescent="0.2">
      <c r="A47" s="12"/>
      <c r="B47" s="12"/>
      <c r="C47" s="12"/>
      <c r="D47" s="12"/>
      <c r="E47" s="12"/>
      <c r="F47" s="18" t="e">
        <f>F5</f>
        <v>#N/A</v>
      </c>
    </row>
    <row r="48" spans="1:6" ht="22.5" customHeight="1" x14ac:dyDescent="0.2">
      <c r="A48" s="639" t="s">
        <v>382</v>
      </c>
      <c r="B48" s="639"/>
      <c r="C48" s="639"/>
      <c r="D48" s="679"/>
      <c r="E48" s="679"/>
      <c r="F48" s="679"/>
    </row>
    <row r="49" spans="1:6" ht="27" customHeight="1" x14ac:dyDescent="0.2">
      <c r="A49" s="672" t="e">
        <f>'RT03-F34'!B6</f>
        <v>#N/A</v>
      </c>
      <c r="B49" s="673"/>
      <c r="C49" s="66"/>
      <c r="D49" s="680"/>
      <c r="E49" s="680"/>
      <c r="F49" s="680"/>
    </row>
    <row r="50" spans="1:6" ht="15" customHeight="1" x14ac:dyDescent="0.2">
      <c r="A50" s="17"/>
      <c r="B50" s="18"/>
      <c r="C50" s="12"/>
      <c r="D50" s="5"/>
      <c r="E50" s="5"/>
      <c r="F50" s="5"/>
    </row>
    <row r="51" spans="1:6" ht="20.100000000000001" customHeight="1" x14ac:dyDescent="0.2">
      <c r="A51" s="639" t="s">
        <v>145</v>
      </c>
      <c r="B51" s="639"/>
      <c r="C51" s="42" t="s">
        <v>141</v>
      </c>
      <c r="D51" s="43"/>
      <c r="F51" s="5"/>
    </row>
    <row r="52" spans="1:6" ht="15" customHeight="1" x14ac:dyDescent="0.2">
      <c r="C52" s="5"/>
      <c r="D52" s="5"/>
      <c r="E52" s="5"/>
      <c r="F52" s="5"/>
    </row>
    <row r="53" spans="1:6" ht="20.100000000000001" customHeight="1" x14ac:dyDescent="0.2">
      <c r="A53" s="661" t="s">
        <v>142</v>
      </c>
      <c r="B53" s="661"/>
      <c r="C53" s="5"/>
      <c r="D53" s="5"/>
      <c r="E53" s="5"/>
      <c r="F53" s="5"/>
    </row>
    <row r="54" spans="1:6" ht="15" customHeight="1" thickBot="1" x14ac:dyDescent="0.25">
      <c r="A54" s="19"/>
      <c r="B54" s="19"/>
      <c r="C54" s="19"/>
      <c r="D54" s="5"/>
      <c r="E54" s="5"/>
      <c r="F54" s="5"/>
    </row>
    <row r="55" spans="1:6" ht="24.95" customHeight="1" thickBot="1" x14ac:dyDescent="0.25">
      <c r="A55" s="44" t="s">
        <v>86</v>
      </c>
      <c r="B55" s="45" t="s">
        <v>87</v>
      </c>
      <c r="C55" s="45" t="s">
        <v>88</v>
      </c>
      <c r="D55" s="5"/>
      <c r="E55" s="5"/>
      <c r="F55" s="5"/>
    </row>
    <row r="56" spans="1:6" ht="20.100000000000001" customHeight="1" thickBot="1" x14ac:dyDescent="0.25">
      <c r="A56" s="75">
        <f>'RT03-F34'!E61</f>
        <v>0</v>
      </c>
      <c r="B56" s="76">
        <f>'RT03-F34'!G61</f>
        <v>0</v>
      </c>
      <c r="C56" s="76">
        <f>'RT03-F34'!I61</f>
        <v>0</v>
      </c>
      <c r="D56" s="5"/>
      <c r="E56" s="5"/>
      <c r="F56" s="5"/>
    </row>
    <row r="57" spans="1:6" ht="15" customHeight="1" x14ac:dyDescent="0.2">
      <c r="A57" s="677" t="s">
        <v>150</v>
      </c>
      <c r="B57" s="677"/>
      <c r="C57" s="677"/>
      <c r="D57" s="677"/>
      <c r="E57" s="677"/>
      <c r="F57" s="677"/>
    </row>
    <row r="58" spans="1:6" ht="15" customHeight="1" x14ac:dyDescent="0.2">
      <c r="A58" s="19"/>
      <c r="B58" s="19"/>
      <c r="C58" s="19"/>
      <c r="D58" s="5"/>
      <c r="E58" s="5"/>
      <c r="F58" s="5"/>
    </row>
    <row r="59" spans="1:6" ht="20.100000000000001" customHeight="1" x14ac:dyDescent="0.2">
      <c r="A59" s="639" t="s">
        <v>383</v>
      </c>
      <c r="B59" s="639"/>
      <c r="C59" s="639"/>
      <c r="D59" s="639"/>
      <c r="E59" s="19"/>
      <c r="F59" s="19"/>
    </row>
    <row r="60" spans="1:6" ht="12" customHeight="1" thickBot="1" x14ac:dyDescent="0.25">
      <c r="A60" s="37"/>
      <c r="B60" s="37"/>
      <c r="C60" s="37"/>
      <c r="D60" s="37"/>
      <c r="E60" s="20"/>
      <c r="F60" s="20"/>
    </row>
    <row r="61" spans="1:6" ht="15" customHeight="1" thickBot="1" x14ac:dyDescent="0.25">
      <c r="A61" s="654" t="s">
        <v>166</v>
      </c>
      <c r="B61" s="655"/>
      <c r="C61" s="67" t="e">
        <f>'RT03-F34'!I12</f>
        <v>#N/A</v>
      </c>
      <c r="D61" s="5"/>
      <c r="E61" s="5"/>
      <c r="F61" s="5"/>
    </row>
    <row r="62" spans="1:6" ht="15" customHeight="1" thickBot="1" x14ac:dyDescent="0.25">
      <c r="A62" s="656" t="s">
        <v>89</v>
      </c>
      <c r="B62" s="657"/>
      <c r="C62" s="69" t="e">
        <f>'RT03-F34'!I13</f>
        <v>#N/A</v>
      </c>
      <c r="D62" s="5"/>
      <c r="E62" s="5"/>
      <c r="F62" s="5"/>
    </row>
    <row r="63" spans="1:6" ht="15" customHeight="1" thickBot="1" x14ac:dyDescent="0.25">
      <c r="A63" s="652" t="s">
        <v>165</v>
      </c>
      <c r="B63" s="653"/>
      <c r="C63" s="68" t="e">
        <f>'RT03-F34'!I14</f>
        <v>#N/A</v>
      </c>
      <c r="D63" s="5"/>
      <c r="E63" s="5"/>
      <c r="F63" s="5"/>
    </row>
    <row r="64" spans="1:6" ht="15" customHeight="1" x14ac:dyDescent="0.2">
      <c r="A64" s="11"/>
      <c r="B64" s="34"/>
      <c r="C64" s="5"/>
      <c r="D64" s="5"/>
      <c r="E64" s="5"/>
      <c r="F64" s="5"/>
    </row>
    <row r="65" spans="1:6" ht="20.100000000000001" customHeight="1" x14ac:dyDescent="0.2">
      <c r="A65" s="639" t="s">
        <v>143</v>
      </c>
      <c r="B65" s="639"/>
      <c r="C65" s="639"/>
      <c r="D65" s="639"/>
      <c r="E65" s="19"/>
      <c r="F65" s="19"/>
    </row>
    <row r="66" spans="1:6" ht="12" customHeight="1" x14ac:dyDescent="0.2">
      <c r="A66" s="37"/>
      <c r="B66" s="37"/>
      <c r="C66" s="37"/>
      <c r="D66" s="37"/>
      <c r="E66" s="20"/>
      <c r="F66" s="20"/>
    </row>
    <row r="67" spans="1:6" ht="15" customHeight="1" x14ac:dyDescent="0.2">
      <c r="A67" s="643" t="s">
        <v>93</v>
      </c>
      <c r="B67" s="643"/>
      <c r="D67" s="19"/>
      <c r="E67" s="19"/>
      <c r="F67" s="19"/>
    </row>
    <row r="68" spans="1:6" ht="15" customHeight="1" thickBot="1" x14ac:dyDescent="0.25">
      <c r="A68" s="19"/>
      <c r="B68" s="19"/>
      <c r="C68" s="19"/>
      <c r="D68" s="5"/>
      <c r="E68" s="5"/>
      <c r="F68" s="5"/>
    </row>
    <row r="69" spans="1:6" ht="15" customHeight="1" thickBot="1" x14ac:dyDescent="0.25">
      <c r="A69" s="648" t="s">
        <v>90</v>
      </c>
      <c r="B69" s="649"/>
      <c r="C69" s="650"/>
      <c r="D69" s="19"/>
      <c r="E69" s="19"/>
      <c r="F69" s="19"/>
    </row>
    <row r="70" spans="1:6" ht="15" customHeight="1" thickBot="1" x14ac:dyDescent="0.25">
      <c r="A70" s="46" t="str">
        <f>'RT03-F34'!C32</f>
        <v>Carga</v>
      </c>
      <c r="B70" s="47">
        <f>'RT03-F34'!E32</f>
        <v>0</v>
      </c>
      <c r="C70" s="48" t="str">
        <f>'RT03-F34'!D32</f>
        <v>(g)</v>
      </c>
      <c r="D70" s="19"/>
      <c r="E70" s="55" t="s">
        <v>92</v>
      </c>
      <c r="F70" s="19"/>
    </row>
    <row r="71" spans="1:6" ht="15" customHeight="1" thickBot="1" x14ac:dyDescent="0.25">
      <c r="A71" s="46" t="str">
        <f>'RT03-F34'!B33</f>
        <v>Posición</v>
      </c>
      <c r="B71" s="48" t="str">
        <f>'RT03-F34'!B34</f>
        <v>Indicación (g)</v>
      </c>
      <c r="C71" s="49" t="s">
        <v>180</v>
      </c>
      <c r="D71" s="19"/>
      <c r="E71" s="19"/>
      <c r="F71" s="19"/>
    </row>
    <row r="72" spans="1:6" ht="20.100000000000001" customHeight="1" x14ac:dyDescent="0.2">
      <c r="A72" s="50">
        <f>'RT03-F34'!C33</f>
        <v>1</v>
      </c>
      <c r="B72" s="73">
        <f>'RT03-F34'!C34</f>
        <v>0</v>
      </c>
      <c r="C72" s="74">
        <f>'RT03-F34'!C35</f>
        <v>0</v>
      </c>
      <c r="D72" s="19"/>
      <c r="F72" s="19"/>
    </row>
    <row r="73" spans="1:6" ht="20.100000000000001" customHeight="1" x14ac:dyDescent="0.2">
      <c r="A73" s="50">
        <f>'RT03-F34'!D33</f>
        <v>2</v>
      </c>
      <c r="B73" s="51">
        <f>'RT03-F34'!D34</f>
        <v>0</v>
      </c>
      <c r="C73" s="51">
        <f>'RT03-F34'!D35</f>
        <v>0</v>
      </c>
      <c r="D73" s="19"/>
      <c r="E73" s="19"/>
      <c r="F73" s="19"/>
    </row>
    <row r="74" spans="1:6" ht="20.100000000000001" customHeight="1" x14ac:dyDescent="0.2">
      <c r="A74" s="52">
        <f>'RT03-F34'!E33</f>
        <v>3</v>
      </c>
      <c r="B74" s="51">
        <f>'RT03-F34'!E34</f>
        <v>0</v>
      </c>
      <c r="C74" s="51">
        <f>'RT03-F34'!E35</f>
        <v>0</v>
      </c>
      <c r="D74" s="19"/>
      <c r="E74" s="19"/>
      <c r="F74" s="19"/>
    </row>
    <row r="75" spans="1:6" ht="20.100000000000001" customHeight="1" x14ac:dyDescent="0.2">
      <c r="A75" s="52">
        <f>'RT03-F34'!F33</f>
        <v>4</v>
      </c>
      <c r="B75" s="51">
        <f>'RT03-F34'!F34</f>
        <v>0</v>
      </c>
      <c r="C75" s="51">
        <f>'RT03-F34'!F35</f>
        <v>0</v>
      </c>
      <c r="D75" s="19"/>
      <c r="E75" s="19"/>
      <c r="F75" s="19"/>
    </row>
    <row r="76" spans="1:6" ht="20.100000000000001" customHeight="1" x14ac:dyDescent="0.2">
      <c r="A76" s="52">
        <f>'RT03-F34'!G33</f>
        <v>5</v>
      </c>
      <c r="B76" s="51">
        <f>'RT03-F34'!G34</f>
        <v>0</v>
      </c>
      <c r="C76" s="51">
        <f>'RT03-F34'!G35</f>
        <v>0</v>
      </c>
      <c r="D76" s="19"/>
      <c r="E76" s="19"/>
      <c r="F76" s="19"/>
    </row>
    <row r="77" spans="1:6" ht="20.100000000000001" customHeight="1" x14ac:dyDescent="0.2">
      <c r="A77" s="53" t="str">
        <f>'[4]PRUEBAS DE CALIBRACION'!F18</f>
        <v>DIF MAX EXC</v>
      </c>
      <c r="B77" s="51">
        <f>'RT03-F34'!C37</f>
        <v>0</v>
      </c>
      <c r="C77" s="54" t="s">
        <v>144</v>
      </c>
      <c r="D77" s="19"/>
      <c r="E77" s="19"/>
      <c r="F77" s="19"/>
    </row>
    <row r="78" spans="1:6" ht="15" customHeight="1" x14ac:dyDescent="0.2">
      <c r="A78" s="12"/>
      <c r="B78" s="21"/>
      <c r="C78" s="18"/>
      <c r="D78" s="20"/>
      <c r="E78" s="20"/>
      <c r="F78" s="20"/>
    </row>
    <row r="79" spans="1:6" ht="15" customHeight="1" x14ac:dyDescent="0.2">
      <c r="A79" s="667" t="s">
        <v>155</v>
      </c>
      <c r="B79" s="667"/>
      <c r="C79" s="667"/>
      <c r="D79" s="667"/>
      <c r="E79" s="667"/>
      <c r="F79" s="667"/>
    </row>
    <row r="80" spans="1:6" ht="15" customHeight="1" x14ac:dyDescent="0.2">
      <c r="A80" s="667"/>
      <c r="B80" s="667"/>
      <c r="C80" s="667"/>
      <c r="D80" s="667"/>
      <c r="E80" s="667"/>
      <c r="F80" s="667"/>
    </row>
    <row r="81" spans="1:6" ht="15" customHeight="1" x14ac:dyDescent="0.2">
      <c r="A81" s="667"/>
      <c r="B81" s="667"/>
      <c r="C81" s="667"/>
      <c r="D81" s="667"/>
      <c r="E81" s="667"/>
      <c r="F81" s="667"/>
    </row>
    <row r="82" spans="1:6" ht="15" customHeight="1" x14ac:dyDescent="0.2">
      <c r="A82" s="31"/>
      <c r="B82" s="31"/>
      <c r="C82" s="31"/>
      <c r="D82" s="31"/>
      <c r="E82" s="31"/>
      <c r="F82" s="31"/>
    </row>
    <row r="83" spans="1:6" ht="15" customHeight="1" x14ac:dyDescent="0.2">
      <c r="A83" s="643" t="s">
        <v>96</v>
      </c>
      <c r="B83" s="643"/>
      <c r="E83" s="12"/>
      <c r="F83" s="12"/>
    </row>
    <row r="84" spans="1:6" ht="15" customHeight="1" thickBot="1" x14ac:dyDescent="0.25">
      <c r="E84" s="12"/>
      <c r="F84" s="18" t="e">
        <f>F5</f>
        <v>#N/A</v>
      </c>
    </row>
    <row r="85" spans="1:6" ht="15" customHeight="1" thickBot="1" x14ac:dyDescent="0.25">
      <c r="A85" s="640" t="s">
        <v>146</v>
      </c>
      <c r="B85" s="641"/>
      <c r="C85" s="641"/>
      <c r="D85" s="642"/>
      <c r="E85" s="12"/>
      <c r="F85" s="12"/>
    </row>
    <row r="86" spans="1:6" ht="20.100000000000001" customHeight="1" thickBot="1" x14ac:dyDescent="0.25">
      <c r="A86" s="46" t="str">
        <f>'RT03-F34'!A41</f>
        <v>Cargas (g)</v>
      </c>
      <c r="B86" s="56">
        <f>'RT03-F34'!A42</f>
        <v>0</v>
      </c>
      <c r="C86" s="56">
        <f>'RT03-F34'!A43</f>
        <v>0</v>
      </c>
      <c r="D86" s="56">
        <f>'RT03-F34'!A44</f>
        <v>0</v>
      </c>
      <c r="E86" s="12"/>
      <c r="F86" s="12"/>
    </row>
    <row r="87" spans="1:6" ht="15" customHeight="1" thickBot="1" x14ac:dyDescent="0.25">
      <c r="A87" s="57" t="s">
        <v>94</v>
      </c>
      <c r="B87" s="57" t="s">
        <v>95</v>
      </c>
      <c r="C87" s="57" t="s">
        <v>95</v>
      </c>
      <c r="D87" s="57" t="s">
        <v>95</v>
      </c>
      <c r="E87" s="12"/>
      <c r="F87" s="12"/>
    </row>
    <row r="88" spans="1:6" ht="20.100000000000001" customHeight="1" x14ac:dyDescent="0.2">
      <c r="A88" s="50">
        <f>'RT03-F34'!B41</f>
        <v>1</v>
      </c>
      <c r="B88" s="74">
        <f>'RT03-F34'!B42</f>
        <v>0</v>
      </c>
      <c r="C88" s="74">
        <f>'RT03-F34'!B43</f>
        <v>0</v>
      </c>
      <c r="D88" s="74">
        <f>'RT03-F34'!B44</f>
        <v>0</v>
      </c>
      <c r="E88" s="12"/>
      <c r="F88" s="12"/>
    </row>
    <row r="89" spans="1:6" ht="20.100000000000001" customHeight="1" x14ac:dyDescent="0.2">
      <c r="A89" s="50">
        <f>'RT03-F34'!C41</f>
        <v>2</v>
      </c>
      <c r="B89" s="51">
        <f>'RT03-F34'!C42</f>
        <v>0</v>
      </c>
      <c r="C89" s="51">
        <f>'RT03-F34'!C43</f>
        <v>0</v>
      </c>
      <c r="D89" s="51">
        <f>'RT03-F34'!C44</f>
        <v>0</v>
      </c>
      <c r="E89" s="12"/>
      <c r="F89" s="12"/>
    </row>
    <row r="90" spans="1:6" ht="20.100000000000001" customHeight="1" x14ac:dyDescent="0.2">
      <c r="A90" s="50">
        <f>'RT03-F34'!D41</f>
        <v>3</v>
      </c>
      <c r="B90" s="51">
        <f>'RT03-F34'!D42</f>
        <v>0</v>
      </c>
      <c r="C90" s="51">
        <f>'RT03-F34'!D43</f>
        <v>0</v>
      </c>
      <c r="D90" s="51">
        <f>'RT03-F34'!D44</f>
        <v>0</v>
      </c>
      <c r="E90" s="12"/>
      <c r="F90" s="12"/>
    </row>
    <row r="91" spans="1:6" ht="20.100000000000001" customHeight="1" x14ac:dyDescent="0.2">
      <c r="A91" s="50">
        <f>'RT03-F34'!E41</f>
        <v>4</v>
      </c>
      <c r="B91" s="51">
        <f>'RT03-F34'!E42</f>
        <v>0</v>
      </c>
      <c r="C91" s="51">
        <f>'RT03-F34'!E43</f>
        <v>0</v>
      </c>
      <c r="D91" s="51">
        <f>'RT03-F34'!E44</f>
        <v>0</v>
      </c>
      <c r="E91" s="12"/>
      <c r="F91" s="12"/>
    </row>
    <row r="92" spans="1:6" ht="20.100000000000001" customHeight="1" x14ac:dyDescent="0.2">
      <c r="A92" s="50">
        <f>'RT03-F34'!F41</f>
        <v>5</v>
      </c>
      <c r="B92" s="51">
        <f>'RT03-F34'!F42</f>
        <v>0</v>
      </c>
      <c r="C92" s="51">
        <f>'RT03-F34'!F43</f>
        <v>0</v>
      </c>
      <c r="D92" s="51">
        <f>'RT03-F34'!F44</f>
        <v>0</v>
      </c>
      <c r="E92" s="12"/>
      <c r="F92" s="12"/>
    </row>
    <row r="93" spans="1:6" ht="20.100000000000001" customHeight="1" x14ac:dyDescent="0.2">
      <c r="A93" s="50">
        <f>'RT03-F34'!G41</f>
        <v>6</v>
      </c>
      <c r="B93" s="51">
        <f>'RT03-F34'!G42</f>
        <v>0</v>
      </c>
      <c r="C93" s="51">
        <f>'RT03-F34'!G43</f>
        <v>0</v>
      </c>
      <c r="D93" s="51">
        <f>'RT03-F34'!G44</f>
        <v>0</v>
      </c>
      <c r="E93" s="12"/>
      <c r="F93" s="12"/>
    </row>
    <row r="94" spans="1:6" ht="20.100000000000001" customHeight="1" x14ac:dyDescent="0.2">
      <c r="A94" s="50">
        <f>'RT03-F34'!H41</f>
        <v>7</v>
      </c>
      <c r="B94" s="51">
        <f>'RT03-F34'!H42</f>
        <v>0</v>
      </c>
      <c r="C94" s="51">
        <f>'RT03-F34'!H43</f>
        <v>0</v>
      </c>
      <c r="D94" s="51">
        <f>'RT03-F34'!H44</f>
        <v>0</v>
      </c>
      <c r="E94" s="12"/>
      <c r="F94" s="12"/>
    </row>
    <row r="95" spans="1:6" ht="20.100000000000001" customHeight="1" x14ac:dyDescent="0.2">
      <c r="A95" s="50">
        <f>'RT03-F34'!I41</f>
        <v>8</v>
      </c>
      <c r="B95" s="51">
        <f>'RT03-F34'!I42</f>
        <v>0</v>
      </c>
      <c r="C95" s="51">
        <f>'RT03-F34'!I43</f>
        <v>0</v>
      </c>
      <c r="D95" s="51">
        <f>'RT03-F34'!I44</f>
        <v>0</v>
      </c>
      <c r="E95" s="12"/>
      <c r="F95" s="12"/>
    </row>
    <row r="96" spans="1:6" ht="20.100000000000001" customHeight="1" x14ac:dyDescent="0.2">
      <c r="A96" s="50">
        <f>'RT03-F34'!J41</f>
        <v>9</v>
      </c>
      <c r="B96" s="51">
        <f>'RT03-F34'!J42</f>
        <v>0</v>
      </c>
      <c r="C96" s="51">
        <f>'RT03-F34'!J43</f>
        <v>0</v>
      </c>
      <c r="D96" s="51">
        <f>'RT03-F34'!J44</f>
        <v>0</v>
      </c>
      <c r="E96" s="12"/>
      <c r="F96" s="12"/>
    </row>
    <row r="97" spans="1:6" ht="20.100000000000001" customHeight="1" x14ac:dyDescent="0.2">
      <c r="A97" s="50">
        <f>'RT03-F34'!K41</f>
        <v>10</v>
      </c>
      <c r="B97" s="51">
        <f>'RT03-F34'!K42</f>
        <v>0</v>
      </c>
      <c r="C97" s="51">
        <f>'RT03-F34'!K43</f>
        <v>0</v>
      </c>
      <c r="D97" s="51">
        <f>'RT03-F34'!K44</f>
        <v>0</v>
      </c>
      <c r="E97" s="19"/>
      <c r="F97" s="19"/>
    </row>
    <row r="98" spans="1:6" ht="15" customHeight="1" x14ac:dyDescent="0.2">
      <c r="A98" s="5"/>
      <c r="B98" s="5"/>
      <c r="C98" s="5"/>
      <c r="D98" s="19"/>
      <c r="E98" s="19"/>
      <c r="F98" s="19"/>
    </row>
    <row r="99" spans="1:6" ht="15" customHeight="1" x14ac:dyDescent="0.2">
      <c r="A99" s="651" t="s">
        <v>97</v>
      </c>
      <c r="B99" s="651"/>
      <c r="C99" s="651"/>
      <c r="D99" s="651"/>
      <c r="E99" s="651"/>
      <c r="F99" s="651"/>
    </row>
    <row r="100" spans="1:6" ht="15" customHeight="1" x14ac:dyDescent="0.2">
      <c r="A100" s="651"/>
      <c r="B100" s="651"/>
      <c r="C100" s="651"/>
      <c r="D100" s="651"/>
      <c r="E100" s="651"/>
      <c r="F100" s="651"/>
    </row>
    <row r="101" spans="1:6" ht="15" customHeight="1" x14ac:dyDescent="0.2">
      <c r="A101" s="651"/>
      <c r="B101" s="651"/>
      <c r="C101" s="651"/>
      <c r="D101" s="651"/>
      <c r="E101" s="651"/>
      <c r="F101" s="651"/>
    </row>
    <row r="102" spans="1:6" ht="15" customHeight="1" x14ac:dyDescent="0.2">
      <c r="A102" s="651"/>
      <c r="B102" s="651"/>
      <c r="C102" s="651"/>
      <c r="D102" s="651"/>
      <c r="E102" s="651"/>
      <c r="F102" s="651"/>
    </row>
    <row r="103" spans="1:6" ht="15" customHeight="1" x14ac:dyDescent="0.2">
      <c r="A103" s="5"/>
      <c r="B103" s="5"/>
      <c r="C103" s="5"/>
      <c r="D103" s="19"/>
      <c r="E103" s="19"/>
      <c r="F103" s="19"/>
    </row>
    <row r="104" spans="1:6" ht="15" customHeight="1" x14ac:dyDescent="0.2">
      <c r="A104" s="643" t="s">
        <v>99</v>
      </c>
      <c r="B104" s="643"/>
      <c r="C104" s="643"/>
      <c r="D104" s="643"/>
      <c r="E104" s="5"/>
      <c r="F104" s="5"/>
    </row>
    <row r="105" spans="1:6" ht="15" customHeight="1" thickBot="1" x14ac:dyDescent="0.25">
      <c r="A105" s="5"/>
      <c r="B105" s="5"/>
      <c r="C105" s="5"/>
      <c r="D105" s="19"/>
      <c r="E105" s="19"/>
      <c r="F105" s="19"/>
    </row>
    <row r="106" spans="1:6" ht="15" customHeight="1" thickBot="1" x14ac:dyDescent="0.25">
      <c r="A106" s="644" t="s">
        <v>98</v>
      </c>
      <c r="B106" s="645"/>
      <c r="C106" s="646"/>
      <c r="D106" s="5"/>
      <c r="E106" s="5"/>
      <c r="F106" s="5"/>
    </row>
    <row r="107" spans="1:6" ht="20.100000000000001" customHeight="1" thickBot="1" x14ac:dyDescent="0.25">
      <c r="A107" s="58" t="str">
        <f>'RT03-F34'!B52</f>
        <v>Cargas (g)</v>
      </c>
      <c r="B107" s="57" t="s">
        <v>152</v>
      </c>
      <c r="C107" s="57" t="s">
        <v>109</v>
      </c>
      <c r="D107" s="5"/>
      <c r="E107" s="5"/>
      <c r="F107" s="5"/>
    </row>
    <row r="108" spans="1:6" ht="20.100000000000001" customHeight="1" x14ac:dyDescent="0.2">
      <c r="A108" s="82" t="e">
        <f>'RT03-F34'!B53</f>
        <v>#N/A</v>
      </c>
      <c r="B108" s="79" t="e">
        <f>'RT03-F34'!L53</f>
        <v>#DIV/0!</v>
      </c>
      <c r="C108" s="50" t="e">
        <f>'RT03-F34'!F100</f>
        <v>#DIV/0!</v>
      </c>
      <c r="D108" s="5"/>
      <c r="E108" s="5"/>
      <c r="F108" s="5"/>
    </row>
    <row r="109" spans="1:6" ht="20.100000000000001" customHeight="1" x14ac:dyDescent="0.2">
      <c r="A109" s="81" t="e">
        <f>'RT03-F34'!B54</f>
        <v>#N/A</v>
      </c>
      <c r="B109" s="54" t="e">
        <f>'RT03-F34'!L54</f>
        <v>#DIV/0!</v>
      </c>
      <c r="C109" s="50" t="e">
        <f>'RT03-F34'!G100</f>
        <v>#DIV/0!</v>
      </c>
      <c r="D109" s="5"/>
      <c r="E109" s="5"/>
      <c r="F109" s="5"/>
    </row>
    <row r="110" spans="1:6" ht="20.100000000000001" customHeight="1" x14ac:dyDescent="0.2">
      <c r="A110" s="80" t="e">
        <f>'RT03-F34'!B55</f>
        <v>#N/A</v>
      </c>
      <c r="B110" s="51" t="e">
        <f>'RT03-F34'!L55</f>
        <v>#DIV/0!</v>
      </c>
      <c r="C110" s="50" t="e">
        <f>'RT03-F34'!H100</f>
        <v>#DIV/0!</v>
      </c>
      <c r="D110" s="5"/>
      <c r="E110" s="5"/>
      <c r="F110" s="5"/>
    </row>
    <row r="111" spans="1:6" ht="20.100000000000001" customHeight="1" x14ac:dyDescent="0.2">
      <c r="A111" s="81" t="e">
        <f>'RT03-F34'!B56</f>
        <v>#N/A</v>
      </c>
      <c r="B111" s="54" t="e">
        <f>'RT03-F34'!L56</f>
        <v>#DIV/0!</v>
      </c>
      <c r="C111" s="50" t="e">
        <f>'RT03-F34'!I100</f>
        <v>#DIV/0!</v>
      </c>
      <c r="D111" s="5"/>
      <c r="E111" s="5"/>
      <c r="F111" s="5"/>
    </row>
    <row r="112" spans="1:6" ht="20.100000000000001" customHeight="1" x14ac:dyDescent="0.2">
      <c r="A112" s="80" t="e">
        <f>'RT03-F34'!B57</f>
        <v>#N/A</v>
      </c>
      <c r="B112" s="54" t="e">
        <f>'RT03-F34'!L57</f>
        <v>#DIV/0!</v>
      </c>
      <c r="C112" s="50" t="e">
        <f>'RT03-F34'!J100</f>
        <v>#DIV/0!</v>
      </c>
      <c r="D112" s="5"/>
      <c r="E112" s="5"/>
      <c r="F112" s="5"/>
    </row>
    <row r="113" spans="1:6" ht="15" customHeight="1" x14ac:dyDescent="0.2">
      <c r="A113" s="22"/>
      <c r="B113" s="22"/>
      <c r="C113" s="22"/>
      <c r="D113" s="5"/>
      <c r="E113" s="5"/>
      <c r="F113" s="22"/>
    </row>
    <row r="114" spans="1:6" ht="3" customHeight="1" x14ac:dyDescent="0.2"/>
    <row r="115" spans="1:6" ht="3" customHeight="1" x14ac:dyDescent="0.2"/>
    <row r="116" spans="1:6" ht="16.5" customHeight="1" x14ac:dyDescent="0.2">
      <c r="A116" s="26"/>
      <c r="B116" s="18"/>
      <c r="C116" s="18"/>
      <c r="D116" s="12"/>
      <c r="E116" s="12"/>
      <c r="F116" s="12"/>
    </row>
    <row r="117" spans="1:6" ht="16.5" customHeight="1" x14ac:dyDescent="0.2">
      <c r="A117" s="26"/>
      <c r="B117" s="18"/>
      <c r="C117" s="18"/>
      <c r="D117" s="12"/>
      <c r="E117" s="12"/>
      <c r="F117" s="12"/>
    </row>
    <row r="118" spans="1:6" ht="16.5" customHeight="1" x14ac:dyDescent="0.2">
      <c r="A118" s="26"/>
      <c r="B118" s="18"/>
      <c r="C118" s="18"/>
      <c r="D118" s="12"/>
      <c r="E118" s="12"/>
      <c r="F118" s="12"/>
    </row>
    <row r="119" spans="1:6" ht="16.5" customHeight="1" x14ac:dyDescent="0.2">
      <c r="A119" s="26"/>
      <c r="B119" s="18"/>
      <c r="C119" s="18"/>
      <c r="D119" s="12"/>
      <c r="E119" s="12"/>
      <c r="F119" s="12"/>
    </row>
    <row r="120" spans="1:6" ht="15" customHeight="1" x14ac:dyDescent="0.2">
      <c r="A120" s="22"/>
      <c r="B120" s="18"/>
      <c r="C120" s="18"/>
      <c r="D120" s="5"/>
      <c r="E120" s="5"/>
      <c r="F120" s="5"/>
    </row>
    <row r="121" spans="1:6" ht="30" customHeight="1" x14ac:dyDescent="0.2">
      <c r="A121" s="22"/>
      <c r="B121" s="18"/>
      <c r="C121" s="18"/>
      <c r="D121" s="33"/>
      <c r="E121" s="33"/>
      <c r="F121" s="93" t="e">
        <f>F5</f>
        <v>#N/A</v>
      </c>
    </row>
    <row r="122" spans="1:6" ht="15" customHeight="1" x14ac:dyDescent="0.2">
      <c r="A122" s="22"/>
      <c r="B122" s="18"/>
      <c r="C122" s="18"/>
      <c r="D122" s="5"/>
      <c r="E122" s="5"/>
      <c r="F122" s="5"/>
    </row>
    <row r="123" spans="1:6" ht="15" customHeight="1" x14ac:dyDescent="0.2">
      <c r="A123" s="22"/>
      <c r="B123" s="18"/>
      <c r="C123" s="18"/>
      <c r="D123" s="5"/>
      <c r="E123" s="5"/>
      <c r="F123" s="5"/>
    </row>
    <row r="124" spans="1:6" ht="15" customHeight="1" x14ac:dyDescent="0.2">
      <c r="A124" s="12"/>
      <c r="B124" s="23"/>
      <c r="C124" s="12"/>
      <c r="D124" s="12"/>
      <c r="E124" s="12"/>
      <c r="F124" s="12"/>
    </row>
    <row r="125" spans="1:6" ht="15" customHeight="1" x14ac:dyDescent="0.2">
      <c r="A125" s="12"/>
      <c r="B125" s="12"/>
      <c r="C125" s="12"/>
      <c r="D125" s="12"/>
      <c r="E125" s="12"/>
      <c r="F125" s="12"/>
    </row>
    <row r="126" spans="1:6" ht="15" customHeight="1" x14ac:dyDescent="0.2">
      <c r="A126" s="12"/>
      <c r="B126" s="12"/>
      <c r="C126" s="12"/>
      <c r="D126" s="12"/>
      <c r="E126" s="12"/>
      <c r="F126" s="12"/>
    </row>
    <row r="127" spans="1:6" ht="15" customHeight="1" x14ac:dyDescent="0.2">
      <c r="A127" s="12"/>
      <c r="B127" s="12"/>
      <c r="C127" s="12"/>
      <c r="D127" s="12"/>
      <c r="E127" s="12"/>
      <c r="F127" s="12"/>
    </row>
    <row r="128" spans="1:6" ht="15" customHeight="1" x14ac:dyDescent="0.2">
      <c r="A128" s="12"/>
      <c r="B128" s="12"/>
      <c r="C128" s="12"/>
      <c r="D128" s="12"/>
      <c r="E128" s="12"/>
      <c r="F128" s="12"/>
    </row>
    <row r="129" spans="1:6" ht="15" customHeight="1" x14ac:dyDescent="0.2">
      <c r="A129" s="12"/>
      <c r="B129" s="12"/>
      <c r="C129" s="12"/>
      <c r="D129" s="12"/>
      <c r="E129" s="12"/>
      <c r="F129" s="12"/>
    </row>
    <row r="130" spans="1:6" ht="15" customHeight="1" x14ac:dyDescent="0.2">
      <c r="A130" s="12"/>
      <c r="B130" s="12"/>
      <c r="C130" s="12"/>
      <c r="D130" s="12"/>
      <c r="E130" s="12"/>
      <c r="F130" s="12"/>
    </row>
    <row r="131" spans="1:6" ht="15" customHeight="1" x14ac:dyDescent="0.2">
      <c r="A131" s="12"/>
      <c r="B131" s="12"/>
      <c r="C131" s="12"/>
      <c r="D131" s="12"/>
      <c r="E131" s="12"/>
      <c r="F131" s="12"/>
    </row>
    <row r="132" spans="1:6" ht="15" customHeight="1" x14ac:dyDescent="0.2">
      <c r="A132" s="12"/>
      <c r="B132" s="12"/>
      <c r="C132" s="12"/>
      <c r="D132" s="12"/>
      <c r="E132" s="12"/>
      <c r="F132" s="12"/>
    </row>
    <row r="133" spans="1:6" ht="15" customHeight="1" x14ac:dyDescent="0.2">
      <c r="A133" s="12"/>
      <c r="B133" s="12"/>
      <c r="C133" s="12"/>
      <c r="D133" s="12"/>
      <c r="E133" s="12"/>
      <c r="F133" s="12"/>
    </row>
    <row r="134" spans="1:6" ht="15" customHeight="1" x14ac:dyDescent="0.2">
      <c r="A134" s="12"/>
      <c r="B134" s="12"/>
      <c r="C134" s="12"/>
      <c r="D134" s="12"/>
      <c r="E134" s="12"/>
      <c r="F134" s="12"/>
    </row>
    <row r="135" spans="1:6" ht="15" customHeight="1" x14ac:dyDescent="0.2">
      <c r="A135" s="12"/>
      <c r="B135" s="12"/>
      <c r="C135" s="12"/>
      <c r="D135" s="12"/>
      <c r="E135" s="12"/>
      <c r="F135" s="12"/>
    </row>
    <row r="136" spans="1:6" ht="15" customHeight="1" x14ac:dyDescent="0.2">
      <c r="D136" s="5"/>
      <c r="E136" s="5"/>
      <c r="F136" s="5"/>
    </row>
    <row r="137" spans="1:6" ht="15" customHeight="1" x14ac:dyDescent="0.2">
      <c r="A137" s="5"/>
      <c r="B137" s="5"/>
      <c r="C137" s="5"/>
      <c r="D137" s="5"/>
      <c r="E137" s="5"/>
      <c r="F137" s="5"/>
    </row>
    <row r="138" spans="1:6" ht="15" customHeight="1" x14ac:dyDescent="0.2">
      <c r="A138" s="33"/>
      <c r="B138" s="33"/>
      <c r="C138" s="33"/>
      <c r="D138" s="33"/>
      <c r="E138" s="33"/>
      <c r="F138" s="33"/>
    </row>
    <row r="139" spans="1:6" ht="15" customHeight="1" x14ac:dyDescent="0.2">
      <c r="A139" s="33"/>
      <c r="B139" s="33"/>
      <c r="C139" s="33"/>
      <c r="D139" s="33"/>
      <c r="E139" s="33"/>
      <c r="F139" s="33"/>
    </row>
    <row r="140" spans="1:6" ht="15" customHeight="1" x14ac:dyDescent="0.2">
      <c r="A140" s="647" t="s">
        <v>100</v>
      </c>
      <c r="B140" s="647"/>
      <c r="C140" s="647"/>
      <c r="D140" s="647"/>
      <c r="E140" s="647"/>
      <c r="F140" s="647"/>
    </row>
    <row r="141" spans="1:6" ht="15" customHeight="1" x14ac:dyDescent="0.2">
      <c r="A141" s="647"/>
      <c r="B141" s="647"/>
      <c r="C141" s="647"/>
      <c r="D141" s="647"/>
      <c r="E141" s="647"/>
      <c r="F141" s="647"/>
    </row>
    <row r="142" spans="1:6" ht="12" customHeight="1" x14ac:dyDescent="0.2">
      <c r="A142" s="24"/>
      <c r="B142" s="24"/>
      <c r="C142" s="24"/>
      <c r="D142" s="24"/>
      <c r="E142" s="24"/>
      <c r="F142" s="24"/>
    </row>
    <row r="143" spans="1:6" ht="20.100000000000001" customHeight="1" x14ac:dyDescent="0.2">
      <c r="A143" s="638" t="s">
        <v>185</v>
      </c>
      <c r="B143" s="638"/>
      <c r="C143" s="638"/>
      <c r="D143" s="5"/>
      <c r="E143" s="5"/>
      <c r="F143" s="5"/>
    </row>
    <row r="144" spans="1:6" ht="12" customHeight="1" x14ac:dyDescent="0.2">
      <c r="A144" s="1"/>
      <c r="B144" s="1"/>
      <c r="C144" s="1"/>
      <c r="D144" s="33"/>
      <c r="E144" s="33"/>
      <c r="F144" s="33"/>
    </row>
    <row r="145" spans="1:6" ht="15" customHeight="1" x14ac:dyDescent="0.2">
      <c r="A145" s="676" t="s">
        <v>68</v>
      </c>
      <c r="B145" s="676"/>
      <c r="C145" s="676"/>
      <c r="D145" s="676"/>
      <c r="E145" s="676"/>
      <c r="F145" s="676"/>
    </row>
    <row r="146" spans="1:6" ht="15" customHeight="1" x14ac:dyDescent="0.2">
      <c r="A146" s="4"/>
      <c r="B146" s="4"/>
      <c r="C146" s="4"/>
      <c r="D146" s="4"/>
      <c r="E146" s="4"/>
      <c r="F146" s="4"/>
    </row>
    <row r="147" spans="1:6" ht="15" customHeight="1" x14ac:dyDescent="0.2">
      <c r="A147" s="16"/>
      <c r="B147" s="8" t="str">
        <f>'RT03-F34'!$E$131</f>
        <v>E (R)  (mg) =</v>
      </c>
      <c r="C147" s="38" t="e">
        <f>'RT03-F34'!F131</f>
        <v>#DIV/0!</v>
      </c>
      <c r="D147" s="8" t="s">
        <v>74</v>
      </c>
      <c r="E147" s="16"/>
      <c r="F147" s="16"/>
    </row>
    <row r="148" spans="1:6" ht="15" customHeight="1" x14ac:dyDescent="0.2">
      <c r="A148" s="26"/>
      <c r="E148" s="12"/>
      <c r="F148" s="12"/>
    </row>
    <row r="149" spans="1:6" ht="20.100000000000001" customHeight="1" x14ac:dyDescent="0.2">
      <c r="A149" s="661" t="s">
        <v>147</v>
      </c>
      <c r="B149" s="661"/>
      <c r="C149" s="661"/>
      <c r="D149" s="27" t="s">
        <v>130</v>
      </c>
      <c r="E149" s="60" t="e">
        <f>'RT03-F34'!G114</f>
        <v>#DIV/0!</v>
      </c>
      <c r="F149" s="29" t="s">
        <v>131</v>
      </c>
    </row>
    <row r="150" spans="1:6" ht="15" customHeight="1" x14ac:dyDescent="0.2">
      <c r="A150" s="36"/>
      <c r="B150" s="36"/>
      <c r="C150" s="36"/>
      <c r="D150" s="27"/>
      <c r="E150" s="28"/>
      <c r="F150" s="29"/>
    </row>
    <row r="151" spans="1:6" ht="15" customHeight="1" x14ac:dyDescent="0.2">
      <c r="A151" s="18" t="str">
        <f>'RT03-F34'!E133</f>
        <v>U (E)  (mg) =</v>
      </c>
      <c r="B151" s="22" t="e">
        <f>'RT03-F34'!F133</f>
        <v>#N/A</v>
      </c>
      <c r="C151" s="25" t="str">
        <f>[4]RESULTADOS!I23</f>
        <v xml:space="preserve">                + </v>
      </c>
      <c r="D151" s="18" t="str">
        <f>D147</f>
        <v>R (g)</v>
      </c>
      <c r="E151" s="30" t="e">
        <f>'RT03-F34'!H133</f>
        <v>#N/A</v>
      </c>
    </row>
    <row r="152" spans="1:6" ht="15" customHeight="1" x14ac:dyDescent="0.2">
      <c r="A152" s="12"/>
      <c r="B152" s="22"/>
      <c r="C152" s="25"/>
      <c r="D152" s="12"/>
      <c r="E152" s="30"/>
    </row>
    <row r="153" spans="1:6" ht="15" customHeight="1" x14ac:dyDescent="0.2">
      <c r="A153" s="12"/>
      <c r="B153" s="22"/>
      <c r="C153" s="25"/>
      <c r="D153" s="12"/>
      <c r="E153" s="30"/>
    </row>
    <row r="154" spans="1:6" ht="15" customHeight="1" x14ac:dyDescent="0.2">
      <c r="A154" s="658" t="s">
        <v>101</v>
      </c>
      <c r="B154" s="658"/>
      <c r="C154" s="658"/>
      <c r="D154" s="658"/>
      <c r="E154" s="658"/>
      <c r="F154" s="658"/>
    </row>
    <row r="155" spans="1:6" ht="15" customHeight="1" x14ac:dyDescent="0.2">
      <c r="A155" s="658"/>
      <c r="B155" s="658"/>
      <c r="C155" s="658"/>
      <c r="D155" s="658"/>
      <c r="E155" s="658"/>
      <c r="F155" s="658"/>
    </row>
    <row r="156" spans="1:6" ht="15" customHeight="1" x14ac:dyDescent="0.2">
      <c r="A156" s="25"/>
      <c r="B156" s="25"/>
      <c r="C156" s="25"/>
      <c r="D156" s="25"/>
      <c r="E156" s="25"/>
      <c r="F156" s="25"/>
    </row>
    <row r="157" spans="1:6" ht="15" customHeight="1" x14ac:dyDescent="0.2">
      <c r="A157" s="24"/>
      <c r="B157" s="24"/>
      <c r="C157" s="24"/>
      <c r="D157" s="24"/>
      <c r="E157" s="24"/>
      <c r="F157" s="24"/>
    </row>
    <row r="158" spans="1:6" ht="15" customHeight="1" x14ac:dyDescent="0.2">
      <c r="A158" s="31"/>
      <c r="B158" s="31"/>
      <c r="C158" s="31"/>
      <c r="D158" s="31"/>
      <c r="E158" s="31"/>
      <c r="F158" s="31"/>
    </row>
    <row r="159" spans="1:6" ht="15" customHeight="1" x14ac:dyDescent="0.2">
      <c r="A159" s="31"/>
      <c r="B159" s="31"/>
      <c r="C159" s="31"/>
      <c r="D159" s="31"/>
      <c r="E159" s="31"/>
      <c r="F159" s="31"/>
    </row>
    <row r="160" spans="1:6" ht="30" customHeight="1" thickBot="1" x14ac:dyDescent="0.25">
      <c r="A160" s="31"/>
      <c r="B160" s="31"/>
      <c r="C160" s="31"/>
      <c r="D160" s="31"/>
      <c r="E160" s="31"/>
      <c r="F160" s="94" t="e">
        <f>F5</f>
        <v>#N/A</v>
      </c>
    </row>
    <row r="161" spans="1:6" ht="15" customHeight="1" thickBot="1" x14ac:dyDescent="0.25">
      <c r="A161" s="70" t="s">
        <v>102</v>
      </c>
      <c r="B161" s="659" t="s">
        <v>384</v>
      </c>
      <c r="C161" s="660"/>
      <c r="D161" s="660"/>
      <c r="E161" s="23"/>
      <c r="F161" s="11"/>
    </row>
    <row r="162" spans="1:6" ht="15" customHeight="1" thickBot="1" x14ac:dyDescent="0.25">
      <c r="A162" s="71" t="s">
        <v>103</v>
      </c>
      <c r="B162" s="659" t="s">
        <v>104</v>
      </c>
      <c r="C162" s="660"/>
      <c r="D162" s="660"/>
      <c r="E162" s="11"/>
      <c r="F162" s="24"/>
    </row>
    <row r="163" spans="1:6" ht="15" customHeight="1" thickBot="1" x14ac:dyDescent="0.25">
      <c r="A163" s="70" t="s">
        <v>105</v>
      </c>
      <c r="B163" s="659" t="s">
        <v>106</v>
      </c>
      <c r="C163" s="660"/>
      <c r="D163" s="660"/>
      <c r="E163" s="11"/>
      <c r="F163" s="11"/>
    </row>
    <row r="164" spans="1:6" ht="12" customHeight="1" x14ac:dyDescent="0.2">
      <c r="E164" s="11"/>
      <c r="F164" s="11"/>
    </row>
    <row r="165" spans="1:6" ht="20.100000000000001" customHeight="1" x14ac:dyDescent="0.2">
      <c r="A165" s="639" t="s">
        <v>183</v>
      </c>
      <c r="B165" s="639"/>
      <c r="C165" s="639"/>
      <c r="F165" s="11"/>
    </row>
    <row r="166" spans="1:6" ht="12" customHeight="1" x14ac:dyDescent="0.2">
      <c r="D166" s="5"/>
      <c r="E166" s="5"/>
      <c r="F166" s="5"/>
    </row>
    <row r="167" spans="1:6" ht="15" customHeight="1" x14ac:dyDescent="0.2">
      <c r="A167" s="667" t="s">
        <v>159</v>
      </c>
      <c r="B167" s="667"/>
      <c r="C167" s="667"/>
      <c r="D167" s="667"/>
      <c r="E167" s="667"/>
      <c r="F167" s="667"/>
    </row>
    <row r="168" spans="1:6" ht="15" customHeight="1" x14ac:dyDescent="0.2">
      <c r="A168" s="667"/>
      <c r="B168" s="667"/>
      <c r="C168" s="667"/>
      <c r="D168" s="667"/>
      <c r="E168" s="667"/>
      <c r="F168" s="667"/>
    </row>
    <row r="169" spans="1:6" ht="15" customHeight="1" x14ac:dyDescent="0.2">
      <c r="A169" s="667"/>
      <c r="B169" s="667"/>
      <c r="C169" s="667"/>
      <c r="D169" s="667"/>
      <c r="E169" s="667"/>
      <c r="F169" s="667"/>
    </row>
    <row r="170" spans="1:6" ht="15" customHeight="1" x14ac:dyDescent="0.2">
      <c r="A170" s="32"/>
      <c r="B170" s="32"/>
      <c r="C170" s="32"/>
      <c r="D170" s="32"/>
      <c r="E170" s="32"/>
      <c r="F170" s="32"/>
    </row>
    <row r="171" spans="1:6" ht="20.100000000000001" customHeight="1" x14ac:dyDescent="0.2">
      <c r="A171" s="661" t="s">
        <v>148</v>
      </c>
      <c r="B171" s="661"/>
      <c r="C171" s="661"/>
      <c r="D171" s="32"/>
      <c r="E171" s="32"/>
      <c r="F171" s="32"/>
    </row>
    <row r="172" spans="1:6" ht="15" customHeight="1" x14ac:dyDescent="0.2">
      <c r="D172" s="24"/>
      <c r="E172" s="24"/>
      <c r="F172" s="24"/>
    </row>
    <row r="173" spans="1:6" ht="15" customHeight="1" x14ac:dyDescent="0.2">
      <c r="A173" s="658" t="s">
        <v>162</v>
      </c>
      <c r="B173" s="658"/>
      <c r="C173" s="658"/>
      <c r="D173" s="658"/>
      <c r="E173" s="658"/>
      <c r="F173" s="658"/>
    </row>
    <row r="174" spans="1:6" ht="15" customHeight="1" x14ac:dyDescent="0.2">
      <c r="A174" s="658" t="s">
        <v>386</v>
      </c>
      <c r="B174" s="658"/>
      <c r="C174" s="658"/>
      <c r="D174" s="658"/>
      <c r="E174" s="658"/>
      <c r="F174" s="658"/>
    </row>
    <row r="175" spans="1:6" ht="30" customHeight="1" x14ac:dyDescent="0.2">
      <c r="A175" s="675" t="s">
        <v>186</v>
      </c>
      <c r="B175" s="675"/>
      <c r="C175" s="675"/>
      <c r="D175" s="675"/>
      <c r="E175" s="675"/>
      <c r="F175" s="675"/>
    </row>
    <row r="176" spans="1:6" ht="15" customHeight="1" x14ac:dyDescent="0.2">
      <c r="A176" s="658" t="s">
        <v>163</v>
      </c>
      <c r="B176" s="658"/>
      <c r="C176" s="658"/>
      <c r="D176" s="658"/>
      <c r="E176" s="658"/>
      <c r="F176" s="658"/>
    </row>
    <row r="177" spans="1:6" ht="15" customHeight="1" x14ac:dyDescent="0.2">
      <c r="A177" s="658" t="s">
        <v>385</v>
      </c>
      <c r="B177" s="658"/>
      <c r="C177" s="658"/>
      <c r="D177" s="658"/>
      <c r="E177" s="658"/>
      <c r="F177" s="658"/>
    </row>
    <row r="178" spans="1:6" ht="20.100000000000001" customHeight="1" x14ac:dyDescent="0.2">
      <c r="A178" s="671" t="s">
        <v>149</v>
      </c>
      <c r="B178" s="671"/>
      <c r="C178" s="671"/>
      <c r="D178" s="5"/>
      <c r="E178" s="5"/>
      <c r="F178" s="5"/>
    </row>
    <row r="179" spans="1:6" ht="15" customHeight="1" thickBot="1" x14ac:dyDescent="0.25">
      <c r="B179" s="5"/>
      <c r="C179" s="5"/>
      <c r="D179" s="5"/>
      <c r="E179" s="5"/>
      <c r="F179" s="5"/>
    </row>
    <row r="180" spans="1:6" ht="27" customHeight="1" thickBot="1" x14ac:dyDescent="0.25">
      <c r="B180" s="90" t="s">
        <v>17</v>
      </c>
      <c r="C180" s="91" t="s">
        <v>184</v>
      </c>
      <c r="D180" s="92" t="s">
        <v>181</v>
      </c>
      <c r="E180" s="12"/>
      <c r="F180" s="5"/>
    </row>
    <row r="181" spans="1:6" ht="15" customHeight="1" x14ac:dyDescent="0.2">
      <c r="B181" s="87" t="e">
        <f>'RT03-F34'!B53</f>
        <v>#N/A</v>
      </c>
      <c r="C181" s="88">
        <f>'RT03-F34'!C53</f>
        <v>0</v>
      </c>
      <c r="D181" s="89" t="e">
        <f>'RT03-F34'!E53</f>
        <v>#N/A</v>
      </c>
      <c r="E181" s="5"/>
      <c r="F181" s="5"/>
    </row>
    <row r="182" spans="1:6" ht="15" customHeight="1" x14ac:dyDescent="0.2">
      <c r="B182" s="59" t="e">
        <f>'RT03-F34'!B54</f>
        <v>#N/A</v>
      </c>
      <c r="C182" s="78">
        <f>'RT03-F34'!C54</f>
        <v>0</v>
      </c>
      <c r="D182" s="77" t="e">
        <f>'RT03-F34'!E54</f>
        <v>#N/A</v>
      </c>
      <c r="E182" s="5"/>
      <c r="F182" s="5"/>
    </row>
    <row r="183" spans="1:6" ht="15" customHeight="1" x14ac:dyDescent="0.2">
      <c r="B183" s="59" t="e">
        <f>'RT03-F34'!B55</f>
        <v>#N/A</v>
      </c>
      <c r="C183" s="78">
        <f>'RT03-F34'!C55</f>
        <v>0</v>
      </c>
      <c r="D183" s="78" t="e">
        <f>'RT03-F34'!E55</f>
        <v>#N/A</v>
      </c>
      <c r="E183" s="5"/>
      <c r="F183" s="5"/>
    </row>
    <row r="184" spans="1:6" ht="15" customHeight="1" x14ac:dyDescent="0.2">
      <c r="B184" s="59" t="e">
        <f>'RT03-F34'!B56</f>
        <v>#N/A</v>
      </c>
      <c r="C184" s="78">
        <f>'RT03-F34'!C56</f>
        <v>0</v>
      </c>
      <c r="D184" s="78" t="e">
        <f>'RT03-F34'!E56</f>
        <v>#N/A</v>
      </c>
      <c r="E184" s="5"/>
      <c r="F184" s="5"/>
    </row>
    <row r="185" spans="1:6" ht="15" customHeight="1" x14ac:dyDescent="0.2">
      <c r="B185" s="59" t="e">
        <f>'RT03-F34'!B57</f>
        <v>#N/A</v>
      </c>
      <c r="C185" s="78">
        <f>'RT03-F34'!C57</f>
        <v>0</v>
      </c>
      <c r="D185" s="83" t="e">
        <f>'RT03-F34'!E57</f>
        <v>#N/A</v>
      </c>
      <c r="E185" s="5"/>
      <c r="F185" s="5"/>
    </row>
    <row r="186" spans="1:6" ht="15" customHeight="1" x14ac:dyDescent="0.2">
      <c r="B186" s="61"/>
      <c r="C186" s="62"/>
      <c r="D186" s="63"/>
      <c r="E186" s="33"/>
      <c r="F186" s="33"/>
    </row>
    <row r="187" spans="1:6" ht="15" customHeight="1" x14ac:dyDescent="0.2">
      <c r="A187" s="674"/>
      <c r="B187" s="674"/>
      <c r="C187" s="5"/>
      <c r="D187" s="5"/>
      <c r="E187" s="5"/>
      <c r="F187" s="5"/>
    </row>
    <row r="188" spans="1:6" ht="15" customHeight="1" x14ac:dyDescent="0.2">
      <c r="A188" s="64"/>
      <c r="B188" s="64"/>
      <c r="C188" s="65"/>
      <c r="D188" s="33"/>
      <c r="E188" s="33"/>
      <c r="F188" s="33"/>
    </row>
    <row r="189" spans="1:6" ht="20.100000000000001" customHeight="1" x14ac:dyDescent="0.2">
      <c r="A189" s="666" t="s">
        <v>391</v>
      </c>
      <c r="B189" s="666"/>
      <c r="C189" s="292"/>
    </row>
    <row r="190" spans="1:6" ht="15" customHeight="1" x14ac:dyDescent="0.2">
      <c r="B190" s="13"/>
      <c r="C190" s="3"/>
    </row>
    <row r="191" spans="1:6" ht="15" customHeight="1" x14ac:dyDescent="0.2">
      <c r="A191" s="665" t="s">
        <v>107</v>
      </c>
      <c r="B191" s="665"/>
      <c r="C191" s="665"/>
      <c r="D191" s="665" t="s">
        <v>151</v>
      </c>
      <c r="E191" s="665"/>
      <c r="F191" s="665"/>
    </row>
    <row r="192" spans="1:6" ht="15" customHeight="1" x14ac:dyDescent="0.2">
      <c r="A192" s="663" t="s">
        <v>154</v>
      </c>
      <c r="B192" s="663"/>
      <c r="C192" s="86"/>
      <c r="D192" s="663" t="s">
        <v>387</v>
      </c>
      <c r="E192" s="663"/>
      <c r="F192" s="86"/>
    </row>
    <row r="193" spans="1:6" ht="20.25" customHeight="1" x14ac:dyDescent="0.2">
      <c r="A193" s="662" t="e">
        <f>VLOOKUP($C$192,DATOS!$C$119:$G$123,4,FALSE)</f>
        <v>#N/A</v>
      </c>
      <c r="B193" s="662"/>
      <c r="C193" s="662"/>
      <c r="D193" s="662" t="e">
        <f>VLOOKUP($F$192,DATOS!$C$119:$G$123,4,FALSE)</f>
        <v>#N/A</v>
      </c>
      <c r="E193" s="662"/>
      <c r="F193" s="662"/>
    </row>
    <row r="194" spans="1:6" ht="15" customHeight="1" x14ac:dyDescent="0.2">
      <c r="A194" s="662" t="e">
        <f>VLOOKUP($C$192,DATOS!$C$119:$G$123,2,FALSE)</f>
        <v>#N/A</v>
      </c>
      <c r="B194" s="662"/>
      <c r="C194" s="662"/>
      <c r="D194" s="662" t="e">
        <f>VLOOKUP($F$192,DATOS!$C$119:$G$123,2,FALSE)</f>
        <v>#N/A</v>
      </c>
      <c r="E194" s="662"/>
      <c r="F194" s="662"/>
    </row>
    <row r="196" spans="1:6" s="39" customFormat="1" ht="9.9499999999999993" customHeight="1" x14ac:dyDescent="0.25">
      <c r="B196" s="670" t="s">
        <v>160</v>
      </c>
      <c r="C196" s="670"/>
      <c r="D196" s="670"/>
      <c r="E196" s="670"/>
    </row>
    <row r="197" spans="1:6" ht="15" customHeight="1" x14ac:dyDescent="0.2">
      <c r="B197" s="35"/>
      <c r="C197" s="35"/>
      <c r="D197" s="35"/>
      <c r="E197" s="35"/>
    </row>
  </sheetData>
  <sheetProtection algorithmName="SHA-512" hashValue="eK5py6rmioCpyEjI6T8MrUK3zL5vOt7TK5x4l0UZaNn2HBNS6UMzI+8gfYU3WGMjlufbwWGK2PFLlR0b2x5USQ==" saltValue="iKoM1sLqwOQR97pWpIsRfw==" spinCount="100000" sheet="1" objects="1" scenarios="1"/>
  <mergeCells count="83">
    <mergeCell ref="A5:C5"/>
    <mergeCell ref="A7:B7"/>
    <mergeCell ref="C11:D11"/>
    <mergeCell ref="D16:E16"/>
    <mergeCell ref="C9:D9"/>
    <mergeCell ref="C13:D13"/>
    <mergeCell ref="C7:F7"/>
    <mergeCell ref="E9:F14"/>
    <mergeCell ref="C8:F8"/>
    <mergeCell ref="A8:B8"/>
    <mergeCell ref="A9:B9"/>
    <mergeCell ref="A10:B10"/>
    <mergeCell ref="A11:B11"/>
    <mergeCell ref="A12:B12"/>
    <mergeCell ref="A13:B13"/>
    <mergeCell ref="A14:B14"/>
    <mergeCell ref="A29:C29"/>
    <mergeCell ref="A57:F57"/>
    <mergeCell ref="A33:D33"/>
    <mergeCell ref="A35:F38"/>
    <mergeCell ref="A27:F27"/>
    <mergeCell ref="A48:C48"/>
    <mergeCell ref="D48:F48"/>
    <mergeCell ref="D49:F49"/>
    <mergeCell ref="A18:C18"/>
    <mergeCell ref="A20:B20"/>
    <mergeCell ref="A21:B21"/>
    <mergeCell ref="B196:E196"/>
    <mergeCell ref="A178:C178"/>
    <mergeCell ref="A31:F31"/>
    <mergeCell ref="C44:F45"/>
    <mergeCell ref="A51:B51"/>
    <mergeCell ref="A49:B49"/>
    <mergeCell ref="A167:F169"/>
    <mergeCell ref="A194:C194"/>
    <mergeCell ref="A187:B187"/>
    <mergeCell ref="A175:F175"/>
    <mergeCell ref="A145:F145"/>
    <mergeCell ref="A165:C165"/>
    <mergeCell ref="D192:E192"/>
    <mergeCell ref="A16:B16"/>
    <mergeCell ref="C12:D12"/>
    <mergeCell ref="D191:F191"/>
    <mergeCell ref="A191:C191"/>
    <mergeCell ref="A189:B189"/>
    <mergeCell ref="A25:B25"/>
    <mergeCell ref="A22:B22"/>
    <mergeCell ref="A23:B23"/>
    <mergeCell ref="A177:F177"/>
    <mergeCell ref="A79:F81"/>
    <mergeCell ref="A53:B53"/>
    <mergeCell ref="A40:B41"/>
    <mergeCell ref="C40:F41"/>
    <mergeCell ref="A42:B43"/>
    <mergeCell ref="C42:F43"/>
    <mergeCell ref="A44:B45"/>
    <mergeCell ref="D194:F194"/>
    <mergeCell ref="D193:F193"/>
    <mergeCell ref="A193:C193"/>
    <mergeCell ref="A171:C171"/>
    <mergeCell ref="A174:F174"/>
    <mergeCell ref="A173:F173"/>
    <mergeCell ref="A176:F176"/>
    <mergeCell ref="A192:B192"/>
    <mergeCell ref="A154:F155"/>
    <mergeCell ref="B161:D161"/>
    <mergeCell ref="B163:D163"/>
    <mergeCell ref="B162:D162"/>
    <mergeCell ref="A149:C149"/>
    <mergeCell ref="A143:C143"/>
    <mergeCell ref="A59:D59"/>
    <mergeCell ref="A65:D65"/>
    <mergeCell ref="A85:D85"/>
    <mergeCell ref="A83:B83"/>
    <mergeCell ref="A106:C106"/>
    <mergeCell ref="A104:D104"/>
    <mergeCell ref="A140:F141"/>
    <mergeCell ref="A69:C69"/>
    <mergeCell ref="A67:B67"/>
    <mergeCell ref="A99:F102"/>
    <mergeCell ref="A63:B63"/>
    <mergeCell ref="A61:B61"/>
    <mergeCell ref="A62:B62"/>
  </mergeCells>
  <pageMargins left="0.70866141732283472" right="0.70866141732283472" top="0.74803149606299213" bottom="0.74803149606299213" header="0.31496062992125984" footer="0.31496062992125984"/>
  <pageSetup scale="99" orientation="portrait" horizontalDpi="4294967293" r:id="rId1"/>
  <headerFooter>
    <oddHeader xml:space="preserve">&amp;C &amp;"-,Negrita"&amp;12  
                &amp;16 &amp;12 &amp;"Arial Narrow,Negrita"&amp;14INFORME DE VERIFICACIONES INTERMEDIAS DE BALANZAS
            &amp;R&amp;"-,Negrita"&amp;12
             </oddHeader>
    <oddFooter>Página &amp;P de &amp;F</oddFooter>
  </headerFooter>
  <rowBreaks count="4" manualBreakCount="4">
    <brk id="46" max="5" man="1"/>
    <brk id="82" min="1" max="5" man="1"/>
    <brk id="119" min="1" max="5" man="1"/>
    <brk id="159" max="5"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DATOS!$C$119:$C$123</xm:f>
          </x14:formula1>
          <xm:sqref>F192</xm:sqref>
        </x14:dataValidation>
        <x14:dataValidation type="list" allowBlank="1" showInputMessage="1" showErrorMessage="1">
          <x14:formula1>
            <xm:f>DATOS!$C$119:$C$121</xm:f>
          </x14:formula1>
          <xm:sqref>C192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DATOS</vt:lpstr>
      <vt:lpstr>RT03-F34</vt:lpstr>
      <vt:lpstr>RT03-F36</vt:lpstr>
      <vt:lpstr>DATOS!Print_Area</vt:lpstr>
      <vt:lpstr>'RT03-F34'!Print_Area</vt:lpstr>
      <vt:lpstr>'RT03-F36'!Print_Area</vt:lpstr>
      <vt:lpstr>'RT03-F34'!Print_Titles</vt:lpstr>
      <vt:lpstr>'RT03-F36'!Print_Titles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Elvis Aguirre Romero</dc:creator>
  <cp:lastModifiedBy>Maria del Carmen Diaz Fonseca</cp:lastModifiedBy>
  <cp:lastPrinted>2018-03-05T20:53:10Z</cp:lastPrinted>
  <dcterms:created xsi:type="dcterms:W3CDTF">2016-06-28T20:23:39Z</dcterms:created>
  <dcterms:modified xsi:type="dcterms:W3CDTF">2018-03-05T21:06:44Z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3606222</vt:i4>
  </property>
</Properties>
</file>